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21.xml" ContentType="application/vnd.openxmlformats-officedocument.spreadsheetml.worksheet+xml"/>
  <Override PartName="/xl/worksheets/sheet120.xml" ContentType="application/vnd.openxmlformats-officedocument.spreadsheetml.worksheet+xml"/>
  <Override PartName="/xl/worksheets/sheet111.xml" ContentType="application/vnd.openxmlformats-officedocument.spreadsheetml.worksheet+xml"/>
  <Override PartName="/xl/worksheets/sheet110.xml" ContentType="application/vnd.openxmlformats-officedocument.spreadsheetml.worksheet+xml"/>
  <Override PartName="/xl/worksheets/sheet101.xml" ContentType="application/vnd.openxmlformats-officedocument.spreadsheetml.worksheet+xml"/>
  <Override PartName="/xl/worksheets/sheet100.xml" ContentType="application/vnd.openxmlformats-officedocument.spreadsheetml.worksheet+xml"/>
  <Override PartName="/xl/worksheets/sheet99.xml" ContentType="application/vnd.openxmlformats-officedocument.spreadsheetml.worksheet+xml"/>
  <Override PartName="/xl/worksheets/sheet98.xml" ContentType="application/vnd.openxmlformats-officedocument.spreadsheetml.worksheet+xml"/>
  <Override PartName="/xl/worksheets/sheet97.xml" ContentType="application/vnd.openxmlformats-officedocument.spreadsheetml.worksheet+xml"/>
  <Override PartName="/xl/worksheets/sheet29.xml" ContentType="application/vnd.openxmlformats-officedocument.spreadsheetml.worksheet+xml"/>
  <Override PartName="/xl/worksheets/sheet96.xml" ContentType="application/vnd.openxmlformats-officedocument.spreadsheetml.worksheet+xml"/>
  <Override PartName="/xl/worksheets/sheet28.xml" ContentType="application/vnd.openxmlformats-officedocument.spreadsheetml.worksheet+xml"/>
  <Override PartName="/xl/worksheets/sheet95.xml" ContentType="application/vnd.openxmlformats-officedocument.spreadsheetml.worksheet+xml"/>
  <Override PartName="/xl/worksheets/sheet27.xml" ContentType="application/vnd.openxmlformats-officedocument.spreadsheetml.worksheet+xml"/>
  <Override PartName="/xl/worksheets/sheet89.xml" ContentType="application/vnd.openxmlformats-officedocument.spreadsheetml.worksheet+xml"/>
  <Override PartName="/xl/worksheets/sheet88.xml" ContentType="application/vnd.openxmlformats-officedocument.spreadsheetml.worksheet+xml"/>
  <Override PartName="/xl/worksheets/sheet87.xml" ContentType="application/vnd.openxmlformats-officedocument.spreadsheetml.worksheet+xml"/>
  <Override PartName="/xl/worksheets/sheet19.xml" ContentType="application/vnd.openxmlformats-officedocument.spreadsheetml.worksheet+xml"/>
  <Override PartName="/xl/worksheets/sheet86.xml" ContentType="application/vnd.openxmlformats-officedocument.spreadsheetml.worksheet+xml"/>
  <Override PartName="/xl/worksheets/sheet18.xml" ContentType="application/vnd.openxmlformats-officedocument.spreadsheetml.worksheet+xml"/>
  <Override PartName="/xl/worksheets/sheet85.xml" ContentType="application/vnd.openxmlformats-officedocument.spreadsheetml.worksheet+xml"/>
  <Override PartName="/xl/worksheets/sheet17.xml" ContentType="application/vnd.openxmlformats-officedocument.spreadsheetml.worksheet+xml"/>
  <Override PartName="/xl/worksheets/sheet79.xml" ContentType="application/vnd.openxmlformats-officedocument.spreadsheetml.worksheet+xml"/>
  <Override PartName="/xl/worksheets/sheet5.xml" ContentType="application/vnd.openxmlformats-officedocument.spreadsheetml.worksheet+xml"/>
  <Override PartName="/xl/worksheets/sheet78.xml" ContentType="application/vnd.openxmlformats-officedocument.spreadsheetml.worksheet+xml"/>
  <Override PartName="/xl/worksheets/sheet4.xml" ContentType="application/vnd.openxmlformats-officedocument.spreadsheetml.worksheet+xml"/>
  <Override PartName="/xl/worksheets/sheet77.xml" ContentType="application/vnd.openxmlformats-officedocument.spreadsheetml.worksheet+xml"/>
  <Override PartName="/xl/worksheets/sheet3.xml" ContentType="application/vnd.openxmlformats-officedocument.spreadsheetml.worksheet+xml"/>
  <Override PartName="/xl/worksheets/sheet76.xml" ContentType="application/vnd.openxmlformats-officedocument.spreadsheetml.worksheet+xml"/>
  <Override PartName="/xl/worksheets/sheet2.xml" ContentType="application/vnd.openxmlformats-officedocument.spreadsheetml.worksheet+xml"/>
  <Override PartName="/xl/worksheets/sheet75.xml" ContentType="application/vnd.openxmlformats-officedocument.spreadsheetml.worksheet+xml"/>
  <Override PartName="/xl/worksheets/sheet1.xml" ContentType="application/vnd.openxmlformats-officedocument.spreadsheetml.worksheet+xml"/>
  <Override PartName="/xl/worksheets/sheet74.xml" ContentType="application/vnd.openxmlformats-officedocument.spreadsheetml.worksheet+xml"/>
  <Override PartName="/xl/worksheets/sheet73.xml" ContentType="application/vnd.openxmlformats-officedocument.spreadsheetml.worksheet+xml"/>
  <Override PartName="/xl/worksheets/sheet72.xml" ContentType="application/vnd.openxmlformats-officedocument.spreadsheetml.worksheet+xml"/>
  <Override PartName="/xl/worksheets/sheet71.xml" ContentType="application/vnd.openxmlformats-officedocument.spreadsheetml.worksheet+xml"/>
  <Override PartName="/xl/worksheets/sheet70.xml" ContentType="application/vnd.openxmlformats-officedocument.spreadsheetml.worksheet+xml"/>
  <Override PartName="/xl/worksheets/sheet69.xml" ContentType="application/vnd.openxmlformats-officedocument.spreadsheetml.worksheet+xml"/>
  <Override PartName="/xl/worksheets/sheet68.xml" ContentType="application/vnd.openxmlformats-officedocument.spreadsheetml.worksheet+xml"/>
  <Override PartName="/xl/worksheets/sheet67.xml" ContentType="application/vnd.openxmlformats-officedocument.spreadsheetml.worksheet+xml"/>
  <Override PartName="/xl/worksheets/sheet66.xml" ContentType="application/vnd.openxmlformats-officedocument.spreadsheetml.worksheet+xml"/>
  <Override PartName="/xl/worksheets/sheet65.xml" ContentType="application/vnd.openxmlformats-officedocument.spreadsheetml.worksheet+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94.xml" ContentType="application/vnd.openxmlformats-officedocument.spreadsheetml.worksheet+xml"/>
  <Override PartName="/xl/worksheets/sheet26.xml" ContentType="application/vnd.openxmlformats-officedocument.spreadsheetml.worksheet+xml"/>
  <Override PartName="/xl/worksheets/sheet93.xml" ContentType="application/vnd.openxmlformats-officedocument.spreadsheetml.worksheet+xml"/>
  <Override PartName="/xl/worksheets/sheet25.xml" ContentType="application/vnd.openxmlformats-officedocument.spreadsheetml.worksheet+xml"/>
  <Override PartName="/xl/worksheets/sheet92.xml" ContentType="application/vnd.openxmlformats-officedocument.spreadsheetml.worksheet+xml"/>
  <Override PartName="/xl/worksheets/sheet24.xml" ContentType="application/vnd.openxmlformats-officedocument.spreadsheetml.worksheet+xml"/>
  <Override PartName="/xl/worksheets/sheet91.xml" ContentType="application/vnd.openxmlformats-officedocument.spreadsheetml.worksheet+xml"/>
  <Override PartName="/xl/worksheets/sheet23.xml" ContentType="application/vnd.openxmlformats-officedocument.spreadsheetml.worksheet+xml"/>
  <Override PartName="/xl/worksheets/sheet90.xml" ContentType="application/vnd.openxmlformats-officedocument.spreadsheetml.worksheet+xml"/>
  <Override PartName="/xl/worksheets/sheet22.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84.xml" ContentType="application/vnd.openxmlformats-officedocument.spreadsheetml.worksheet+xml"/>
  <Override PartName="/xl/worksheets/sheet16.xml" ContentType="application/vnd.openxmlformats-officedocument.spreadsheetml.worksheet+xml"/>
  <Override PartName="/xl/worksheets/sheet57.xml" ContentType="application/vnd.openxmlformats-officedocument.spreadsheetml.worksheet+xml"/>
  <Override PartName="/xl/worksheets/sheet83.xml" ContentType="application/vnd.openxmlformats-officedocument.spreadsheetml.worksheet+xml"/>
  <Override PartName="/xl/worksheets/sheet15.xml" ContentType="application/vnd.openxmlformats-officedocument.spreadsheetml.worksheet+xml"/>
  <Override PartName="/xl/worksheets/sheet82.xml" ContentType="application/vnd.openxmlformats-officedocument.spreadsheetml.worksheet+xml"/>
  <Override PartName="/xl/worksheets/sheet14.xml" ContentType="application/vnd.openxmlformats-officedocument.spreadsheetml.worksheet+xml"/>
  <Override PartName="/xl/worksheets/sheet81.xml" ContentType="application/vnd.openxmlformats-officedocument.spreadsheetml.worksheet+xml"/>
  <Override PartName="/xl/worksheets/sheet13.xml" ContentType="application/vnd.openxmlformats-officedocument.spreadsheetml.worksheet+xml"/>
  <Override PartName="/xl/worksheets/sheet80.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53.xml" ContentType="application/vnd.openxmlformats-officedocument.spreadsheetml.worksheet+xml"/>
  <Override PartName="/xl/worksheets/sheet125.xml" ContentType="application/vnd.openxmlformats-officedocument.spreadsheetml.worksheet+xml"/>
  <Override PartName="/xl/worksheets/sheet193.xml" ContentType="application/vnd.openxmlformats-officedocument.spreadsheetml.worksheet+xml"/>
  <Override PartName="/xl/worksheets/sheet56.xml" ContentType="application/vnd.openxmlformats-officedocument.spreadsheetml.worksheet+xml"/>
  <Override PartName="/xl/worksheets/sheet54.xml" ContentType="application/vnd.openxmlformats-officedocument.spreadsheetml.worksheet+xml"/>
  <Override PartName="/xl/worksheets/sheet126.xml" ContentType="application/vnd.openxmlformats-officedocument.spreadsheetml.worksheet+xml"/>
  <Override PartName="/xl/worksheets/sheet194.xml" ContentType="application/vnd.openxmlformats-officedocument.spreadsheetml.worksheet+xml"/>
  <Override PartName="/xl/worksheets/sheet55.xml" ContentType="application/vnd.openxmlformats-officedocument.spreadsheetml.worksheet+xml"/>
  <Override PartName="/xl/worksheets/sheet127.xml" ContentType="application/vnd.openxmlformats-officedocument.spreadsheetml.worksheet+xml"/>
  <Override PartName="/xl/worksheets/sheet195.xml" ContentType="application/vnd.openxmlformats-officedocument.spreadsheetml.worksheet+xml"/>
  <Override PartName="/xl/worksheets/sheet128.xml" ContentType="application/vnd.openxmlformats-officedocument.spreadsheetml.worksheet+xml"/>
  <Override PartName="/xl/worksheets/sheet196.xml" ContentType="application/vnd.openxmlformats-officedocument.spreadsheetml.worksheet+xml"/>
  <Override PartName="/xl/worksheets/sheet129.xml" ContentType="application/vnd.openxmlformats-officedocument.spreadsheetml.worksheet+xml"/>
  <Override PartName="/xl/worksheets/sheet197.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31.xml" ContentType="application/vnd.openxmlformats-officedocument.spreadsheetml.worksheet+xml"/>
  <Override PartName="/xl/worksheets/sheet168.xml" ContentType="application/vnd.openxmlformats-officedocument.spreadsheetml.worksheet+xml"/>
  <Override PartName="/xl/worksheets/sheet132.xml" ContentType="application/vnd.openxmlformats-officedocument.spreadsheetml.worksheet+xml"/>
  <Override PartName="/xl/worksheets/sheet169.xml" ContentType="application/vnd.openxmlformats-officedocument.spreadsheetml.worksheet+xml"/>
  <Override PartName="/xl/worksheets/sheet166.xml" ContentType="application/vnd.openxmlformats-officedocument.spreadsheetml.worksheet+xml"/>
  <Override PartName="/xl/worksheets/sheet141.xml" ContentType="application/vnd.openxmlformats-officedocument.spreadsheetml.worksheet+xml"/>
  <Override PartName="/xl/worksheets/sheet178.xml" ContentType="application/vnd.openxmlformats-officedocument.spreadsheetml.worksheet+xml"/>
  <Override PartName="/xl/worksheets/sheet130.xml" ContentType="application/vnd.openxmlformats-officedocument.spreadsheetml.worksheet+xml"/>
  <Override PartName="/xl/worksheets/sheet167.xml" ContentType="application/vnd.openxmlformats-officedocument.spreadsheetml.worksheet+xml"/>
  <Override PartName="/xl/worksheets/sheet142.xml" ContentType="application/vnd.openxmlformats-officedocument.spreadsheetml.worksheet+xml"/>
  <Override PartName="/xl/worksheets/sheet179.xml" ContentType="application/vnd.openxmlformats-officedocument.spreadsheetml.worksheet+xml"/>
  <Override PartName="/xl/worksheets/sheet164.xml" ContentType="application/vnd.openxmlformats-officedocument.spreadsheetml.worksheet+xml"/>
  <Override PartName="/xl/worksheets/sheet153.xml" ContentType="application/vnd.openxmlformats-officedocument.spreadsheetml.worksheet+xml"/>
  <Override PartName="/xl/worksheets/sheet165.xml" ContentType="application/vnd.openxmlformats-officedocument.spreadsheetml.worksheet+xml"/>
  <Override PartName="/xl/worksheets/sheet154.xml" ContentType="application/vnd.openxmlformats-officedocument.spreadsheetml.worksheet+xml"/>
  <Override PartName="/xl/worksheets/sheet163.xml" ContentType="application/vnd.openxmlformats-officedocument.spreadsheetml.worksheet+xml"/>
  <Override PartName="/xl/worksheets/sheet199.xml" ContentType="application/vnd.openxmlformats-officedocument.spreadsheetml.worksheet+xml"/>
  <Override PartName="/xl/worksheets/sheet162.xml" ContentType="application/vnd.openxmlformats-officedocument.spreadsheetml.worksheet+xml"/>
  <Override PartName="/xl/worksheets/sheet198.xml" ContentType="application/vnd.openxmlformats-officedocument.spreadsheetml.worksheet+xml"/>
  <Override PartName="/xl/worksheets/sheet161.xml" ContentType="application/vnd.openxmlformats-officedocument.spreadsheetml.worksheet+xml"/>
  <Override PartName="/xl/worksheets/sheet159.xml" ContentType="application/vnd.openxmlformats-officedocument.spreadsheetml.worksheet+xml"/>
  <Override PartName="/xl/worksheets/sheet158.xml" ContentType="application/vnd.openxmlformats-officedocument.spreadsheetml.worksheet+xml"/>
  <Override PartName="/xl/worksheets/sheet157.xml" ContentType="application/vnd.openxmlformats-officedocument.spreadsheetml.worksheet+xml"/>
  <Override PartName="/xl/worksheets/sheet156.xml" ContentType="application/vnd.openxmlformats-officedocument.spreadsheetml.worksheet+xml"/>
  <Override PartName="/xl/worksheets/sheet155.xml" ContentType="application/vnd.openxmlformats-officedocument.spreadsheetml.worksheet+xml"/>
  <Override PartName="/xl/worksheets/sheet189.xml" ContentType="application/vnd.openxmlformats-officedocument.spreadsheetml.worksheet+xml"/>
  <Override PartName="/xl/worksheets/sheet152.xml" ContentType="application/vnd.openxmlformats-officedocument.spreadsheetml.worksheet+xml"/>
  <Override PartName="/xl/worksheets/sheet188.xml" ContentType="application/vnd.openxmlformats-officedocument.spreadsheetml.worksheet+xml"/>
  <Override PartName="/xl/worksheets/sheet151.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48.xml" ContentType="application/vnd.openxmlformats-officedocument.spreadsheetml.worksheet+xml"/>
  <Override PartName="/xl/worksheets/sheet147.xml" ContentType="application/vnd.openxmlformats-officedocument.spreadsheetml.worksheet+xml"/>
  <Override PartName="/xl/worksheets/sheet146.xml" ContentType="application/vnd.openxmlformats-officedocument.spreadsheetml.worksheet+xml"/>
  <Override PartName="/xl/worksheets/sheet52.xml" ContentType="application/vnd.openxmlformats-officedocument.spreadsheetml.worksheet+xml"/>
  <Override PartName="/xl/worksheets/sheet192.xml" ContentType="application/vnd.openxmlformats-officedocument.spreadsheetml.worksheet+xml"/>
  <Override PartName="/xl/worksheets/sheet124.xml" ContentType="application/vnd.openxmlformats-officedocument.spreadsheetml.worksheet+xml"/>
  <Override PartName="/xl/worksheets/sheet51.xml" ContentType="application/vnd.openxmlformats-officedocument.spreadsheetml.worksheet+xml"/>
  <Override PartName="/xl/worksheets/sheet191.xml" ContentType="application/vnd.openxmlformats-officedocument.spreadsheetml.worksheet+xml"/>
  <Override PartName="/xl/worksheets/sheet123.xml" ContentType="application/vnd.openxmlformats-officedocument.spreadsheetml.worksheet+xml"/>
  <Override PartName="/xl/worksheets/sheet50.xml" ContentType="application/vnd.openxmlformats-officedocument.spreadsheetml.worksheet+xml"/>
  <Override PartName="/xl/worksheets/sheet190.xml" ContentType="application/vnd.openxmlformats-officedocument.spreadsheetml.worksheet+xml"/>
  <Override PartName="/xl/worksheets/sheet122.xml" ContentType="application/vnd.openxmlformats-officedocument.spreadsheetml.worksheet+xml"/>
  <Override PartName="/xl/worksheets/sheet46.xml" ContentType="application/vnd.openxmlformats-officedocument.spreadsheetml.worksheet+xml"/>
  <Override PartName="/xl/worksheets/sheet118.xml" ContentType="application/vnd.openxmlformats-officedocument.spreadsheetml.worksheet+xml"/>
  <Override PartName="/xl/worksheets/sheet186.xml" ContentType="application/vnd.openxmlformats-officedocument.spreadsheetml.worksheet+xml"/>
  <Override PartName="/xl/worksheets/sheet45.xml" ContentType="application/vnd.openxmlformats-officedocument.spreadsheetml.worksheet+xml"/>
  <Override PartName="/xl/worksheets/sheet117.xml" ContentType="application/vnd.openxmlformats-officedocument.spreadsheetml.worksheet+xml"/>
  <Override PartName="/xl/worksheets/sheet185.xml" ContentType="application/vnd.openxmlformats-officedocument.spreadsheetml.worksheet+xml"/>
  <Override PartName="/xl/worksheets/sheet48.xml" ContentType="application/vnd.openxmlformats-officedocument.spreadsheetml.worksheet+xml"/>
  <Override PartName="/xl/worksheets/sheet44.xml" ContentType="application/vnd.openxmlformats-officedocument.spreadsheetml.worksheet+xml"/>
  <Override PartName="/xl/worksheets/sheet116.xml" ContentType="application/vnd.openxmlformats-officedocument.spreadsheetml.worksheet+xml"/>
  <Override PartName="/xl/worksheets/sheet184.xml" ContentType="application/vnd.openxmlformats-officedocument.spreadsheetml.worksheet+xml"/>
  <Override PartName="/xl/worksheets/sheet47.xml" ContentType="application/vnd.openxmlformats-officedocument.spreadsheetml.worksheet+xml"/>
  <Override PartName="/xl/worksheets/sheet43.xml" ContentType="application/vnd.openxmlformats-officedocument.spreadsheetml.worksheet+xml"/>
  <Override PartName="/xl/worksheets/sheet183.xml" ContentType="application/vnd.openxmlformats-officedocument.spreadsheetml.worksheet+xml"/>
  <Override PartName="/xl/worksheets/sheet115.xml" ContentType="application/vnd.openxmlformats-officedocument.spreadsheetml.worksheet+xml"/>
  <Override PartName="/xl/worksheets/sheet42.xml" ContentType="application/vnd.openxmlformats-officedocument.spreadsheetml.worksheet+xml"/>
  <Override PartName="/xl/worksheets/sheet182.xml" ContentType="application/vnd.openxmlformats-officedocument.spreadsheetml.worksheet+xml"/>
  <Override PartName="/xl/worksheets/sheet114.xml" ContentType="application/vnd.openxmlformats-officedocument.spreadsheetml.worksheet+xml"/>
  <Override PartName="/xl/worksheets/sheet41.xml" ContentType="application/vnd.openxmlformats-officedocument.spreadsheetml.worksheet+xml"/>
  <Override PartName="/xl/worksheets/sheet181.xml" ContentType="application/vnd.openxmlformats-officedocument.spreadsheetml.worksheet+xml"/>
  <Override PartName="/xl/worksheets/sheet113.xml" ContentType="application/vnd.openxmlformats-officedocument.spreadsheetml.worksheet+xml"/>
  <Override PartName="/xl/worksheets/sheet40.xml" ContentType="application/vnd.openxmlformats-officedocument.spreadsheetml.worksheet+xml"/>
  <Override PartName="/xl/worksheets/sheet180.xml" ContentType="application/vnd.openxmlformats-officedocument.spreadsheetml.worksheet+xml"/>
  <Override PartName="/xl/worksheets/sheet112.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109.xml" ContentType="application/vnd.openxmlformats-officedocument.spreadsheetml.worksheet+xml"/>
  <Override PartName="/xl/worksheets/sheet177.xml" ContentType="application/vnd.openxmlformats-officedocument.spreadsheetml.worksheet+xml"/>
  <Override PartName="/xl/worksheets/sheet36.xml" ContentType="application/vnd.openxmlformats-officedocument.spreadsheetml.worksheet+xml"/>
  <Override PartName="/xl/worksheets/sheet176.xml" ContentType="application/vnd.openxmlformats-officedocument.spreadsheetml.worksheet+xml"/>
  <Override PartName="/xl/worksheets/sheet108.xml" ContentType="application/vnd.openxmlformats-officedocument.spreadsheetml.worksheet+xml"/>
  <Override PartName="/xl/worksheets/sheet35.xml" ContentType="application/vnd.openxmlformats-officedocument.spreadsheetml.worksheet+xml"/>
  <Override PartName="/xl/worksheets/sheet175.xml" ContentType="application/vnd.openxmlformats-officedocument.spreadsheetml.worksheet+xml"/>
  <Override PartName="/xl/worksheets/sheet107.xml" ContentType="application/vnd.openxmlformats-officedocument.spreadsheetml.worksheet+xml"/>
  <Override PartName="/xl/worksheets/sheet34.xml" ContentType="application/vnd.openxmlformats-officedocument.spreadsheetml.worksheet+xml"/>
  <Override PartName="/xl/worksheets/sheet174.xml" ContentType="application/vnd.openxmlformats-officedocument.spreadsheetml.worksheet+xml"/>
  <Override PartName="/xl/worksheets/sheet106.xml" ContentType="application/vnd.openxmlformats-officedocument.spreadsheetml.worksheet+xml"/>
  <Override PartName="/xl/worksheets/sheet33.xml" ContentType="application/vnd.openxmlformats-officedocument.spreadsheetml.worksheet+xml"/>
  <Override PartName="/xl/worksheets/sheet173.xml" ContentType="application/vnd.openxmlformats-officedocument.spreadsheetml.worksheet+xml"/>
  <Override PartName="/xl/worksheets/sheet105.xml" ContentType="application/vnd.openxmlformats-officedocument.spreadsheetml.worksheet+xml"/>
  <Override PartName="/xl/worksheets/sheet32.xml" ContentType="application/vnd.openxmlformats-officedocument.spreadsheetml.worksheet+xml"/>
  <Override PartName="/xl/worksheets/sheet172.xml" ContentType="application/vnd.openxmlformats-officedocument.spreadsheetml.worksheet+xml"/>
  <Override PartName="/xl/worksheets/sheet104.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21.xml" ContentType="application/vnd.openxmlformats-officedocument.spreadsheetml.worksheet+xml"/>
  <Override PartName="/xl/worksheets/sheet119.xml" ContentType="application/vnd.openxmlformats-officedocument.spreadsheetml.worksheet+xml"/>
  <Override PartName="/xl/worksheets/sheet187.xml" ContentType="application/vnd.openxmlformats-officedocument.spreadsheetml.worksheet+xml"/>
  <Override PartName="/xl/worksheets/sheet10.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171.xml" ContentType="application/vnd.openxmlformats-officedocument.spreadsheetml.worksheet+xml"/>
  <Override PartName="/xl/worksheets/sheet103.xml" ContentType="application/vnd.openxmlformats-officedocument.spreadsheetml.worksheet+xml"/>
  <Override PartName="/xl/worksheets/sheet9.xml" ContentType="application/vnd.openxmlformats-officedocument.spreadsheetml.worksheet+xml"/>
  <Override PartName="/xl/worksheets/sheet160.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worksheets/sheet170.xml" ContentType="application/vnd.openxmlformats-officedocument.spreadsheetml.worksheet+xml"/>
  <Override PartName="/xl/worksheets/sheet10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_FAST_TRACK" sheetId="1" state="visible" r:id="rId3"/>
    <sheet name="INDEX" sheetId="2" state="visible" r:id="rId4"/>
    <sheet name="Exec Summary" sheetId="3" state="visible" r:id="rId5"/>
    <sheet name="MASTER_ASSUMPTIONS" sheetId="4" state="visible" r:id="rId6"/>
    <sheet name="UNIVERSAL_DRIVERS" sheetId="5" state="visible" r:id="rId7"/>
    <sheet name="SANDBOX" sheetId="6" state="visible" r:id="rId8"/>
    <sheet name="CAPITAL_EFFICIENCY" sheetId="7" state="visible" r:id="rId9"/>
    <sheet name="DEAL_ARCHITECTURE" sheetId="8" state="visible" r:id="rId10"/>
    <sheet name="EBITDA_BRIDGE" sheetId="9" state="visible" r:id="rId11"/>
    <sheet name="KPI_DASHBOARD" sheetId="10" state="visible" r:id="rId12"/>
    <sheet name="INVESTOR_NARRATIVE" sheetId="11" state="visible" r:id="rId13"/>
    <sheet name="CapEx" sheetId="12" state="visible" r:id="rId14"/>
    <sheet name="Exit &amp; Returns" sheetId="13" state="visible" r:id="rId15"/>
    <sheet name="RECONCILIATION_VIEWS" sheetId="14" state="visible" r:id="rId16"/>
    <sheet name="SURVIVAL_ASSUMPTIONS" sheetId="15" state="visible" r:id="rId17"/>
    <sheet name="SURVIVAL_CASH_FLOW" sheetId="16" state="visible" r:id="rId18"/>
    <sheet name="MASTER_FLOW_DASHBOARD" sheetId="17" state="visible" r:id="rId19"/>
    <sheet name="MASTER_DEMAND_ENGINE" sheetId="18" state="visible" r:id="rId20"/>
    <sheet name="Cross-Pillar" sheetId="19" state="visible" r:id="rId21"/>
    <sheet name="Traffic Engine" sheetId="20" state="visible" r:id="rId22"/>
    <sheet name="Monetization" sheetId="21" state="visible" r:id="rId23"/>
    <sheet name="Borderless Mod" sheetId="22" state="visible" r:id="rId24"/>
    <sheet name="Master Revenue" sheetId="23" state="visible" r:id="rId25"/>
    <sheet name="Master Cost" sheetId="24" state="visible" r:id="rId26"/>
    <sheet name="Master OpEx" sheetId="25" state="visible" r:id="rId27"/>
    <sheet name="Consolidated P&amp;L" sheetId="26" state="visible" r:id="rId28"/>
    <sheet name="Consolidated 8Yr P&amp;L" sheetId="27" state="visible" r:id="rId29"/>
    <sheet name="Consolidated 8Yr CF" sheetId="28" state="visible" r:id="rId30"/>
    <sheet name="Consolidated 8Yr BS" sheetId="29" state="visible" r:id="rId31"/>
    <sheet name="D&amp;A Schedule" sheetId="30" state="hidden" r:id="rId32"/>
    <sheet name="Debt Schedule" sheetId="31" state="visible" r:id="rId33"/>
    <sheet name="Sensitivity" sheetId="32" state="visible" r:id="rId34"/>
    <sheet name="NPV Sensitivity" sheetId="33" state="visible" r:id="rId35"/>
    <sheet name="Scenarios" sheetId="34" state="visible" r:id="rId36"/>
    <sheet name="Probability Scenarios" sheetId="35" state="visible" r:id="rId37"/>
    <sheet name="SCENARIO_SPREAD_MEMOS" sheetId="36" state="visible" r:id="rId38"/>
    <sheet name="Bear Case" sheetId="37" state="visible" r:id="rId39"/>
    <sheet name="COMPOUNDING_BEAR" sheetId="38" state="visible" r:id="rId40"/>
    <sheet name="Investor Dash" sheetId="39" state="visible" r:id="rId41"/>
    <sheet name="COST_STRUCTURE" sheetId="40" state="visible" r:id="rId42"/>
    <sheet name="Group OpEx" sheetId="41" state="visible" r:id="rId43"/>
    <sheet name="OVERHEAD_SENSITIVITY" sheetId="42" state="visible" r:id="rId44"/>
    <sheet name="RAMP_STRUCTURE" sheetId="43" state="visible" r:id="rId45"/>
    <sheet name="ROLL_OUT_PLAN" sheetId="44" state="visible" r:id="rId46"/>
    <sheet name="DEMAND_PROOF_PACK" sheetId="45" state="visible" r:id="rId47"/>
    <sheet name="EVENT_ENGINE" sheetId="46" state="visible" r:id="rId48"/>
    <sheet name="FNB_ATTACHMENT" sheetId="47" state="visible" r:id="rId49"/>
    <sheet name="ACADEMY_STRUCTURE" sheetId="48" state="visible" r:id="rId50"/>
    <sheet name="SPONSORSHIP_STRUCTURE" sheetId="49" state="visible" r:id="rId51"/>
    <sheet name="MUSEUM_ROLE" sheetId="50" state="visible" r:id="rId52"/>
    <sheet name="Schedules" sheetId="51" state="visible" r:id="rId53"/>
    <sheet name="Source Citations" sheetId="52" state="visible" r:id="rId54"/>
    <sheet name="Driver Sources" sheetId="53" state="visible" r:id="rId55"/>
    <sheet name="Change Log" sheetId="54" state="visible" r:id="rId56"/>
    <sheet name="Gaming · SUMMARY" sheetId="55" state="visible" r:id="rId57"/>
    <sheet name="Gaming · Drivers" sheetId="56" state="visible" r:id="rId58"/>
    <sheet name="Gaming · Assumptions" sheetId="57" state="visible" r:id="rId59"/>
    <sheet name="Gaming · Revenue" sheetId="58" state="visible" r:id="rId60"/>
    <sheet name="Gaming · Costs" sheetId="59" state="visible" r:id="rId61"/>
    <sheet name="Gaming · 8-Year" sheetId="60" state="visible" r:id="rId62"/>
    <sheet name="Gaming · P&amp;L" sheetId="61" state="hidden" r:id="rId63"/>
    <sheet name="Gaming · Cash Flow" sheetId="62" state="visible" r:id="rId64"/>
    <sheet name="Gaming · Unit Economics" sheetId="63" state="hidden" r:id="rId65"/>
    <sheet name="Gaming · Breakeven" sheetId="64" state="hidden" r:id="rId66"/>
    <sheet name="Gaming · Capacity Ceiling" sheetId="65" state="hidden" r:id="rId67"/>
    <sheet name="Gaming · KPI Dashboard" sheetId="66" state="hidden" r:id="rId68"/>
    <sheet name="Gaming · Scenarios" sheetId="67" state="visible" r:id="rId69"/>
    <sheet name="Gaming · Sensitivity" sheetId="68" state="hidden" r:id="rId70"/>
    <sheet name="Gaming · Benchmarks" sheetId="69" state="hidden" r:id="rId71"/>
    <sheet name="Gaming · MASTER LINK" sheetId="70" state="hidden" r:id="rId72"/>
    <sheet name="Events · SUMMARY" sheetId="71" state="visible" r:id="rId73"/>
    <sheet name="Events · Drivers" sheetId="72" state="visible" r:id="rId74"/>
    <sheet name="Events · Assumptions" sheetId="73" state="visible" r:id="rId75"/>
    <sheet name="Events · Revenue" sheetId="74" state="visible" r:id="rId76"/>
    <sheet name="Events · Costs" sheetId="75" state="visible" r:id="rId77"/>
    <sheet name="Events · 8-Year" sheetId="76" state="visible" r:id="rId78"/>
    <sheet name="Events · P&amp;L" sheetId="77" state="hidden" r:id="rId79"/>
    <sheet name="Events · Cash Flow" sheetId="78" state="visible" r:id="rId80"/>
    <sheet name="Events · Unit Economics" sheetId="79" state="visible" r:id="rId81"/>
    <sheet name="Events · Breakeven" sheetId="80" state="hidden" r:id="rId82"/>
    <sheet name="Events · Capacity Ceiling" sheetId="81" state="hidden" r:id="rId83"/>
    <sheet name="Events · KPI Dashboard" sheetId="82" state="hidden" r:id="rId84"/>
    <sheet name="Events · Scenarios" sheetId="83" state="visible" r:id="rId85"/>
    <sheet name="Events · Sensitivity" sheetId="84" state="hidden" r:id="rId86"/>
    <sheet name="Events · Benchmarks" sheetId="85" state="hidden" r:id="rId87"/>
    <sheet name="Events · MASTER LINK" sheetId="86" state="hidden" r:id="rId88"/>
    <sheet name="Academy · SUMMARY" sheetId="87" state="visible" r:id="rId89"/>
    <sheet name="Academy · Drivers" sheetId="88" state="visible" r:id="rId90"/>
    <sheet name="Academy · Assumptions" sheetId="89" state="visible" r:id="rId91"/>
    <sheet name="Academy · Revenue" sheetId="90" state="visible" r:id="rId92"/>
    <sheet name="Academy · Costs" sheetId="91" state="visible" r:id="rId93"/>
    <sheet name="Academy · 8-Year" sheetId="92" state="visible" r:id="rId94"/>
    <sheet name="Academy · P&amp;L" sheetId="93" state="visible" r:id="rId95"/>
    <sheet name="Academy · Cash Flow" sheetId="94" state="visible" r:id="rId96"/>
    <sheet name="Academy · Unit Economics" sheetId="95" state="visible" r:id="rId97"/>
    <sheet name="Academy · Breakeven" sheetId="96" state="hidden" r:id="rId98"/>
    <sheet name="Academy · Capacity Ceiling" sheetId="97" state="hidden" r:id="rId99"/>
    <sheet name="Academy · KPI Dashboard" sheetId="98" state="hidden" r:id="rId100"/>
    <sheet name="Academy · Scenarios" sheetId="99" state="visible" r:id="rId101"/>
    <sheet name="Academy · Sensitivity" sheetId="100" state="hidden" r:id="rId102"/>
    <sheet name="Academy · Benchmarks" sheetId="101" state="hidden" r:id="rId103"/>
    <sheet name="Academy · MASTER LINK" sheetId="102" state="hidden" r:id="rId104"/>
    <sheet name="Academy · Weekly Schedule" sheetId="103" state="hidden" r:id="rId105"/>
    <sheet name="Esports · SUMMARY" sheetId="104" state="visible" r:id="rId106"/>
    <sheet name="Esports · Drivers" sheetId="105" state="visible" r:id="rId107"/>
    <sheet name="Esports · Assumptions" sheetId="106" state="visible" r:id="rId108"/>
    <sheet name="Esports · Revenue" sheetId="107" state="visible" r:id="rId109"/>
    <sheet name="Esports · Costs" sheetId="108" state="visible" r:id="rId110"/>
    <sheet name="Esports · 8-Year" sheetId="109" state="visible" r:id="rId111"/>
    <sheet name="Esports · P&amp;L" sheetId="110" state="hidden" r:id="rId112"/>
    <sheet name="Esports · Cash Flow" sheetId="111" state="visible" r:id="rId113"/>
    <sheet name="Esports · Unit Economics" sheetId="112" state="visible" r:id="rId114"/>
    <sheet name="Esports · Breakeven" sheetId="113" state="hidden" r:id="rId115"/>
    <sheet name="Esports · Capacity Ceiling" sheetId="114" state="hidden" r:id="rId116"/>
    <sheet name="Esports · KPI Dashboard" sheetId="115" state="hidden" r:id="rId117"/>
    <sheet name="Esports · Scenarios" sheetId="116" state="visible" r:id="rId118"/>
    <sheet name="Esports · Sensitivity" sheetId="117" state="hidden" r:id="rId119"/>
    <sheet name="Esports · Benchmarks" sheetId="118" state="hidden" r:id="rId120"/>
    <sheet name="Esports · MASTER LINK" sheetId="119" state="hidden" r:id="rId121"/>
    <sheet name="Museum · SUMMARY" sheetId="120" state="visible" r:id="rId122"/>
    <sheet name="Museum · Drivers" sheetId="121" state="visible" r:id="rId123"/>
    <sheet name="Museum · Assumptions" sheetId="122" state="visible" r:id="rId124"/>
    <sheet name="Museum · Revenue" sheetId="123" state="visible" r:id="rId125"/>
    <sheet name="Museum · Costs" sheetId="124" state="visible" r:id="rId126"/>
    <sheet name="Museum · 8-Year" sheetId="125" state="visible" r:id="rId127"/>
    <sheet name="Museum · P&amp;L" sheetId="126" state="hidden" r:id="rId128"/>
    <sheet name="Museum · Cash Flow" sheetId="127" state="visible" r:id="rId129"/>
    <sheet name="Museum · Unit Economics" sheetId="128" state="visible" r:id="rId130"/>
    <sheet name="Museum · Breakeven" sheetId="129" state="hidden" r:id="rId131"/>
    <sheet name="Museum · Capacity Ceiling" sheetId="130" state="hidden" r:id="rId132"/>
    <sheet name="Museum · KPI Dashboard" sheetId="131" state="hidden" r:id="rId133"/>
    <sheet name="Museum · Scenarios" sheetId="132" state="visible" r:id="rId134"/>
    <sheet name="Museum · Sensitivity" sheetId="133" state="hidden" r:id="rId135"/>
    <sheet name="Museum · Benchmarks" sheetId="134" state="hidden" r:id="rId136"/>
    <sheet name="Museum · MASTER LINK" sheetId="135" state="hidden" r:id="rId137"/>
    <sheet name="Subleasing · SUMMARY" sheetId="136" state="visible" r:id="rId138"/>
    <sheet name="Subleasing · Drivers" sheetId="137" state="visible" r:id="rId139"/>
    <sheet name="Subleasing · Assumptions" sheetId="138" state="visible" r:id="rId140"/>
    <sheet name="Subleasing · Revenue" sheetId="139" state="visible" r:id="rId141"/>
    <sheet name="Subleasing · Costs" sheetId="140" state="visible" r:id="rId142"/>
    <sheet name="Subleasing · 8-Year" sheetId="141" state="visible" r:id="rId143"/>
    <sheet name="Subleasing · P&amp;L" sheetId="142" state="hidden" r:id="rId144"/>
    <sheet name="Subleasing · Cash Flow" sheetId="143" state="visible" r:id="rId145"/>
    <sheet name="Subleasing · Unit Economics" sheetId="144" state="hidden" r:id="rId146"/>
    <sheet name="Subleasing · Breakeven" sheetId="145" state="hidden" r:id="rId147"/>
    <sheet name="Subleasing · Capacity Ceiling" sheetId="146" state="hidden" r:id="rId148"/>
    <sheet name="Subleasing · KPI Dashboard" sheetId="147" state="hidden" r:id="rId149"/>
    <sheet name="Subleasing · Scenarios" sheetId="148" state="visible" r:id="rId150"/>
    <sheet name="Subleasing · Sensitivity" sheetId="149" state="hidden" r:id="rId151"/>
    <sheet name="Subleasing · Benchmarks" sheetId="150" state="hidden" r:id="rId152"/>
    <sheet name="Subleasing · MASTER LINK" sheetId="151" state="hidden" r:id="rId153"/>
    <sheet name="F&amp;B · SUMMARY" sheetId="152" state="visible" r:id="rId154"/>
    <sheet name="F&amp;B · Drivers" sheetId="153" state="visible" r:id="rId155"/>
    <sheet name="F&amp;B · Assumptions" sheetId="154" state="visible" r:id="rId156"/>
    <sheet name="F&amp;B · Revenue" sheetId="155" state="visible" r:id="rId157"/>
    <sheet name="F&amp;B · Costs" sheetId="156" state="visible" r:id="rId158"/>
    <sheet name="F&amp;B · 8-Year" sheetId="157" state="visible" r:id="rId159"/>
    <sheet name="F&amp;B · P&amp;L" sheetId="158" state="hidden" r:id="rId160"/>
    <sheet name="F&amp;B · Cash Flow" sheetId="159" state="visible" r:id="rId161"/>
    <sheet name="F&amp;B · Unit Economics" sheetId="160" state="visible" r:id="rId162"/>
    <sheet name="F&amp;B · Breakeven" sheetId="161" state="hidden" r:id="rId163"/>
    <sheet name="F&amp;B · Capacity Ceiling" sheetId="162" state="hidden" r:id="rId164"/>
    <sheet name="F&amp;B · KPI Dashboard" sheetId="163" state="hidden" r:id="rId165"/>
    <sheet name="F&amp;B · Scenarios" sheetId="164" state="visible" r:id="rId166"/>
    <sheet name="F&amp;B · Sensitivity" sheetId="165" state="hidden" r:id="rId167"/>
    <sheet name="F&amp;B · Benchmarks" sheetId="166" state="hidden" r:id="rId168"/>
    <sheet name="F&amp;B · MASTER LINK" sheetId="167" state="hidden" r:id="rId169"/>
    <sheet name="Sponsorships · SUMMARY" sheetId="168" state="visible" r:id="rId170"/>
    <sheet name="Sponsorships · Drivers" sheetId="169" state="visible" r:id="rId171"/>
    <sheet name="Sponsorships · Assumptions" sheetId="170" state="visible" r:id="rId172"/>
    <sheet name="Sponsorships · Revenue" sheetId="171" state="visible" r:id="rId173"/>
    <sheet name="Sponsorships · Costs" sheetId="172" state="visible" r:id="rId174"/>
    <sheet name="Sponsorships · 8-Year" sheetId="173" state="visible" r:id="rId175"/>
    <sheet name="Sponsorships · P&amp;L" sheetId="174" state="hidden" r:id="rId176"/>
    <sheet name="Sponsorships · Cash Flow" sheetId="175" state="visible" r:id="rId177"/>
    <sheet name="Sponsorships · Unit Economics" sheetId="176" state="visible" r:id="rId178"/>
    <sheet name="Sponsorships · Breakeven" sheetId="177" state="hidden" r:id="rId179"/>
    <sheet name="Sponsorships · Capacity Ceiling" sheetId="178" state="hidden" r:id="rId180"/>
    <sheet name="Sponsorships · KPI Dashboard" sheetId="179" state="hidden" r:id="rId181"/>
    <sheet name="Sponsorships · Scenarios" sheetId="180" state="visible" r:id="rId182"/>
    <sheet name="Sponsorships · Sensitivity" sheetId="181" state="hidden" r:id="rId183"/>
    <sheet name="Sponsorships · Benchmarks" sheetId="182" state="hidden" r:id="rId184"/>
    <sheet name="Sponsorships · MASTER LINK" sheetId="183" state="hidden" r:id="rId185"/>
    <sheet name="Borderless · SUMMARY" sheetId="184" state="visible" r:id="rId186"/>
    <sheet name="Borderless · Drivers" sheetId="185" state="visible" r:id="rId187"/>
    <sheet name="Borderless · Assumptions" sheetId="186" state="visible" r:id="rId188"/>
    <sheet name="Borderless · Revenue" sheetId="187" state="visible" r:id="rId189"/>
    <sheet name="Borderless · Costs" sheetId="188" state="visible" r:id="rId190"/>
    <sheet name="Borderless · 8-Year" sheetId="189" state="visible" r:id="rId191"/>
    <sheet name="Borderless · P&amp;L" sheetId="190" state="hidden" r:id="rId192"/>
    <sheet name="Borderless · Cash Flow" sheetId="191" state="visible" r:id="rId193"/>
    <sheet name="Borderless · Unit Economics" sheetId="192" state="hidden" r:id="rId194"/>
    <sheet name="Borderless · Breakeven" sheetId="193" state="hidden" r:id="rId195"/>
    <sheet name="Borderless · Capacity Ceiling" sheetId="194" state="hidden" r:id="rId196"/>
    <sheet name="Borderless · KPI Dashboard" sheetId="195" state="hidden" r:id="rId197"/>
    <sheet name="Borderless · Scenarios" sheetId="196" state="visible" r:id="rId198"/>
    <sheet name="Borderless · Sensitivity" sheetId="197" state="hidden" r:id="rId199"/>
    <sheet name="Borderless · Benchmarks" sheetId="198" state="hidden" r:id="rId200"/>
    <sheet name="Borderless · MASTER LINK" sheetId="199" state="hidden" r:id="rId20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<sst xmlns="http://schemas.openxmlformats.org/spreadsheetml/2006/main" count="14341" uniqueCount="8498">
  <si>
    <t xml:space="preserve">  THE MEDINA LAB</t>
  </si>
  <si>
    <t xml:space="preserve">  INVESTOR  FAST  TRACK</t>
  </si>
  <si>
    <t xml:space="preserve">  3–5 minute guided path through the model · Click each card to navigate</t>
  </si>
  <si>
    <t xml:space="preserve">  Y4 SNAPSHOT</t>
  </si>
  <si>
    <t xml:space="preserve">Y4 REVENUE</t>
  </si>
  <si>
    <t xml:space="preserve">PLATFORM EBITDA</t>
  </si>
  <si>
    <t xml:space="preserve">MARGIN</t>
  </si>
  <si>
    <t xml:space="preserve">PILLARS</t>
  </si>
  <si>
    <t xml:space="preserve">9</t>
  </si>
  <si>
    <t xml:space="preserve">1</t>
  </si>
  <si>
    <t xml:space="preserve">  EXECUTIVE  SUMMARY</t>
  </si>
  <si>
    <t xml:space="preserve">~30 sec</t>
  </si>
  <si>
    <t xml:space="preserve">  Y4 headline numbers · revenue mix · margin · scenario toggle. The financial proposition in one page.</t>
  </si>
  <si>
    <t xml:space="preserve">  →  CLICK HERE TO OPEN: Exec Summary</t>
  </si>
  <si>
    <t xml:space="preserve">2</t>
  </si>
  <si>
    <t xml:space="preserve">  INVESTOR  NARRATIVE</t>
  </si>
  <si>
    <t xml:space="preserve">~90 sec</t>
  </si>
  <si>
    <t xml:space="preserve">  The 12-section story: problem → solution → model → demand → financials → risk → upside.</t>
  </si>
  <si>
    <t xml:space="preserve">  →  CLICK HERE TO OPEN: INVESTOR_NARRATIVE</t>
  </si>
  <si>
    <t xml:space="preserve">3</t>
  </si>
  <si>
    <t xml:space="preserve">  MASTER  FLOW  DASHBOARD</t>
  </si>
  <si>
    <t xml:space="preserve">~60 sec</t>
  </si>
  <si>
    <t xml:space="preserve">  How the system works · cross-pillar flows · control panel · stress scenarios · contribution ranking.</t>
  </si>
  <si>
    <t xml:space="preserve">  →  CLICK HERE TO OPEN: MASTER_FLOW_DASHBOARD</t>
  </si>
  <si>
    <t xml:space="preserve">4</t>
  </si>
  <si>
    <t xml:space="preserve">  SENSITIVITY</t>
  </si>
  <si>
    <t xml:space="preserve">~45 sec</t>
  </si>
  <si>
    <t xml:space="preserve">  What actually drives the business · single-driver sensitivity · ecosystem-level stress.</t>
  </si>
  <si>
    <t xml:space="preserve">  →  CLICK HERE TO OPEN: Sensitivity</t>
  </si>
  <si>
    <t xml:space="preserve">5</t>
  </si>
  <si>
    <t xml:space="preserve">  CAPEX  &amp;  CASH  FLOW</t>
  </si>
  <si>
    <t xml:space="preserve">  Returns · payback · IRR · funding structure · 5-year cash flow.</t>
  </si>
  <si>
    <t xml:space="preserve">  →  CLICK HERE TO OPEN: CapEx</t>
  </si>
  <si>
    <t xml:space="preserve">⊙  TOTAL  TIME:  ~3–5  MINUTES  FOR  CORE  PATH</t>
  </si>
  <si>
    <t xml:space="preserve">◆  WANT  MORE  DEPTH?  ALTERNATE  PATHS:</t>
  </si>
  <si>
    <t xml:space="preserve">  PILLAR-DEEP-DIVE</t>
  </si>
  <si>
    <t xml:space="preserve">  CROSS-PILLAR-LOGIC</t>
  </si>
  <si>
    <t xml:space="preserve">  FULL  AUDIT  TRAIL</t>
  </si>
  <si>
    <t xml:space="preserve">  For each of 9 pillars: SUMMARY · Drivers · Revenue · Costs · KPI Dashboard · Scenarios</t>
  </si>
  <si>
    <t xml:space="preserve">  Cross-Pillar Logic + MASTER_DEMAND_ENGINE + MASTER_FLOW_DASHBOARD all together</t>
  </si>
  <si>
    <t xml:space="preserve">  INDEX → 12 master tabs → 9 pillars × 16 tabs → 11 fortification tabs</t>
  </si>
  <si>
    <t xml:space="preserve">  → ~10 min · open Gaming · SUMMARY</t>
  </si>
  <si>
    <t xml:space="preserve">  → ~5 min · open Cross-Pillar</t>
  </si>
  <si>
    <t xml:space="preserve">⊙  MOST  LIKELY  INVESTOR  QUESTIONS  →  WHERE  TO  LOOK</t>
  </si>
  <si>
    <t xml:space="preserve">  "Is overhead realistic?"</t>
  </si>
  <si>
    <t xml:space="preserve">"→ OVERHEAD_SENSITIVITY (3 scenarios: Lean / Realistic / Scaled)"</t>
  </si>
  <si>
    <t xml:space="preserve">  "What if Sponsorship title sponsor falls through?"</t>
  </si>
  <si>
    <t xml:space="preserve">→ Sponsorships · Drivers rows 66-73 (4-scenario stress test)</t>
  </si>
  <si>
    <t xml:space="preserve">  "What's the demand evidence?"</t>
  </si>
  <si>
    <t xml:space="preserve">→ DEMAND_PROOF_PACK (traffic sources + pre-launch pipeline)</t>
  </si>
  <si>
    <t xml:space="preserve">  "What's the ramp curve?"</t>
  </si>
  <si>
    <t xml:space="preserve">→ RAMP_STRUCTURE (Conservative / Base / Accelerated Y1-Y4)</t>
  </si>
  <si>
    <t xml:space="preserve">  "How is Museum justified at 24.7% margin?"</t>
  </si>
  <si>
    <t xml:space="preserve">→ MUSEUM_ROLE (strategic pillar, not margin driver)</t>
  </si>
  <si>
    <t xml:space="preserve">  "What's the execution timeline?"</t>
  </si>
  <si>
    <t xml:space="preserve">→ ROLL_OUT_PLAN (Phase 1 / 2 / 3 buildup)</t>
  </si>
  <si>
    <t xml:space="preserve">  PIXOUL · THE MEDINA LAB · CASABLANCA</t>
  </si>
  <si>
    <t xml:space="preserve">MASTER INDEX  ·  v2  </t>
  </si>
  <si>
    <t xml:space="preserve">Universal Master Financial Model · 9 Pillars · 200 Sheets · Investor-Grade · v70 (May 2026)</t>
  </si>
  <si>
    <t xml:space="preserve">◆  DOCUMENT  METADATA</t>
  </si>
  <si>
    <t xml:space="preserve">Project</t>
  </si>
  <si>
    <t xml:space="preserve">The Medina Lab — Casablanca Flagship Gaming/Education/Entertainment Complex</t>
  </si>
  <si>
    <t xml:space="preserve">Director</t>
  </si>
  <si>
    <t xml:space="preserve">Toufic Assaf · Pixoul Gaming &amp; Learning Academy</t>
  </si>
  <si>
    <t xml:space="preserve">Site</t>
  </si>
  <si>
    <t xml:space="preserve">Capital structure</t>
  </si>
  <si>
    <t xml:space="preserve">Architecture</t>
  </si>
  <si>
    <t xml:space="preserve">Live-linked · 9 pillars × ~17 tabs each · Bear/Base/Bull scenario toggle (Exec Summary!H7) with full cascade verified v70</t>
  </si>
  <si>
    <t xml:space="preserve">Sheet count</t>
  </si>
  <si>
    <t xml:space="preserve">"190+ total: 11 master + 4 master dashboards + 11 investor narrative + 144+ pillar + multiple special-purpose"</t>
  </si>
  <si>
    <t xml:space="preserve">Use case</t>
  </si>
  <si>
    <t xml:space="preserve">Investor due diligence · auditor-grade · McKinsey/PwC defensible</t>
  </si>
  <si>
    <t xml:space="preserve">Version</t>
  </si>
  <si>
    <t xml:space="preserve">v70.5 — MBB-audited (May 17 2026). MOIC 1.70× / IRR 16.35% LP Y3 BVC IPO. Tax-adjusted (SMIT): 1.80× / 18.21%. 252 Bear/Bull calibrations applied (spread tightened to -31%/+45%). DSCR Y1 1.15× (mitigated via WCF+Suppliers+CT holiday), Y3 refi DSCR Y4 6.39×. 59 named ranges. 132 visible/67 hidden tabs. 0 errors. Scenario cascade tested end-to-end. Section 14 SMIT incentives + Section 15 Risks/Mitigations added to INVESTOR_NARRATIVE.</t>
  </si>
  <si>
    <t xml:space="preserve">Errors</t>
  </si>
  <si>
    <t xml:space="preserve">0 across all 170 sheets · all formulas resolve · scenario stress-tested</t>
  </si>
  <si>
    <t xml:space="preserve">◆  HOW  TO  USE  THIS  MODEL</t>
  </si>
  <si>
    <t xml:space="preserve">   ▸ Start at: Exec Summary (Y4 headlines + scenario toggle)</t>
  </si>
  <si>
    <t xml:space="preserve">   ▸ Investor pitch: INVESTOR_NARRATIVE (12-section story arc)</t>
  </si>
  <si>
    <t xml:space="preserve">   ▸ Cross-pillar visual: MASTER_FLOW_DASHBOARD (KPI cards + flow diagram + control panel)</t>
  </si>
  <si>
    <t xml:space="preserve">   ▸ Deep cross-pillar: MASTER_DEMAND_ENGINE (6-section traffic→revenue mechanics)</t>
  </si>
  <si>
    <t xml:space="preserve">   ▸ Per-pillar deep-dive: each pillar has 16 tabs starting with SUMMARY</t>
  </si>
  <si>
    <t xml:space="preserve">   ▸ Scenarios: change Exec Summary H7 between BASE / BEAR / BULL</t>
  </si>
  <si>
    <t xml:space="preserve">◆  MASTER  TABS  (13 — orchestration &amp; cross-pillar views)</t>
  </si>
  <si>
    <t xml:space="preserve">#</t>
  </si>
  <si>
    <t xml:space="preserve">Tab Name</t>
  </si>
  <si>
    <t xml:space="preserve">Description</t>
  </si>
  <si>
    <t xml:space="preserve">Exec Summary</t>
  </si>
  <si>
    <t xml:space="preserve">Y4 headlines · scenario toggle · main dashboard</t>
  </si>
  <si>
    <t xml:space="preserve">Master Revenue</t>
  </si>
  <si>
    <t xml:space="preserve">Y1-Y8 revenue by pillar · live-linked from pillar Revenue tabs</t>
  </si>
  <si>
    <t xml:space="preserve">Master Cost</t>
  </si>
  <si>
    <t xml:space="preserve">Cross-Pillar</t>
  </si>
  <si>
    <t xml:space="preserve">Cross-pillar flows (12 tracked) · audit trail · NO DOUBLE COUNTING rule</t>
  </si>
  <si>
    <t xml:space="preserve">Traffic Engine</t>
  </si>
  <si>
    <t xml:space="preserve">Unified visitor / user model across pillars</t>
  </si>
  <si>
    <t xml:space="preserve">Monetization</t>
  </si>
  <si>
    <t xml:space="preserve">Revenue stream taxonomy · pricing strategy</t>
  </si>
  <si>
    <t xml:space="preserve">Borderless Mod</t>
  </si>
  <si>
    <t xml:space="preserve">Talent + Education + Production + Tech Lab module</t>
  </si>
  <si>
    <t xml:space="preserve">Scenarios</t>
  </si>
  <si>
    <t xml:space="preserve">Bear/Base/Bull toggle propagation across pillars</t>
  </si>
  <si>
    <t xml:space="preserve">Sensitivity</t>
  </si>
  <si>
    <t xml:space="preserve">Master sensitivity analysis · key levers</t>
  </si>
  <si>
    <t xml:space="preserve">Investor Dash</t>
  </si>
  <si>
    <t xml:space="preserve">Investor-facing KPIs · returns metrics · payback</t>
  </si>
  <si>
    <t xml:space="preserve">CapEx</t>
  </si>
  <si>
    <t xml:space="preserve">MASTER_DEMAND_ENGINE</t>
  </si>
  <si>
    <t xml:space="preserve">6-section traffic→revenue mechanics (read-only)</t>
  </si>
  <si>
    <t xml:space="preserve">MASTER_FLOW_DASHBOARD</t>
  </si>
  <si>
    <t xml:space="preserve">8-section investor visual: KPI cards + flow diagram + control panel + stress + ranking</t>
  </si>
  <si>
    <t xml:space="preserve">◆  INVESTOR  NARRATIVE  &amp;  STRUCTURE  TABS  (11 — strategic upgrade layer)</t>
  </si>
  <si>
    <t xml:space="preserve">Purpose</t>
  </si>
  <si>
    <t xml:space="preserve">INVESTOR_NARRATIVE</t>
  </si>
  <si>
    <t xml:space="preserve">12-section investor pitch: problem · solution · model · demand engine · synergies · monetization · financials · risk</t>
  </si>
  <si>
    <t xml:space="preserve">DEMAND_PROOF_PACK</t>
  </si>
  <si>
    <t xml:space="preserve">Traffic source evidence + pre-launch pipeline (schools/corporates/events)</t>
  </si>
  <si>
    <t xml:space="preserve">EVENT_ENGINE</t>
  </si>
  <si>
    <t xml:space="preserve">Events as recurring SYSTEM (weekly/monthly/corporate) — not ad-hoc sales</t>
  </si>
  <si>
    <t xml:space="preserve">FNB_ATTACHMENT</t>
  </si>
  <si>
    <t xml:space="preserve">F&amp;B is structurally attached: Gaming/Events/Academy → F&amp;B (not optional)</t>
  </si>
  <si>
    <t xml:space="preserve">ACADEMY_STRUCTURE</t>
  </si>
  <si>
    <t xml:space="preserve">Academy split: B2C base case + B2B upside (base case stands without B2B)</t>
  </si>
  <si>
    <t xml:space="preserve">SPONSORSHIP_STRUCTURE</t>
  </si>
  <si>
    <t xml:space="preserve">Sponsorship asset breakdown: arena naming / lab naming / tournaments + dependencies</t>
  </si>
  <si>
    <t xml:space="preserve">MUSEUM_ROLE</t>
  </si>
  <si>
    <t xml:space="preserve">Museum repositioning: strategic pillar (traffic + culture), NOT margin driver</t>
  </si>
  <si>
    <t xml:space="preserve">RAMP_STRUCTURE</t>
  </si>
  <si>
    <t xml:space="preserve">Y1-Y4 ramp curves: Conservative / Base / Accelerated scenarios</t>
  </si>
  <si>
    <t xml:space="preserve">COST_STRUCTURE</t>
  </si>
  <si>
    <t xml:space="preserve">Fixed vs variable cost breakdown · scale economics</t>
  </si>
  <si>
    <t xml:space="preserve">OVERHEAD_SENSITIVITY</t>
  </si>
  <si>
    <t xml:space="preserve">"3 OpEx sensitivity scenarios (Lean/Realistic/Scaled) → EBITDA &amp; margin impact"</t>
  </si>
  <si>
    <t xml:space="preserve">ROLL_OUT_PLAN</t>
  </si>
  <si>
    <t xml:space="preserve">Phase 1 (Gaming/Events/F&amp;B) → Phase 2 (Academy/Esports) → Phase 3 (Ecosystem)</t>
  </si>
  <si>
    <t xml:space="preserve">◆  PILLAR  TABS  (9 pillars × 16 tabs each = 144 sheets · click pillar SUMMARY to enter)</t>
  </si>
  <si>
    <t xml:space="preserve">Pillar</t>
  </si>
  <si>
    <t xml:space="preserve">Y4 Revenue</t>
  </si>
  <si>
    <t xml:space="preserve">Y4 EBITDA</t>
  </si>
  <si>
    <t xml:space="preserve">Margin</t>
  </si>
  <si>
    <t xml:space="preserve">SUMMARY tab (click to enter)</t>
  </si>
  <si>
    <t xml:space="preserve">  Events</t>
  </si>
  <si>
    <t xml:space="preserve">  → Events · SUMMARY  (Largest pillar — events + catering · 71.7% margin)</t>
  </si>
  <si>
    <t xml:space="preserve">  F&amp;B</t>
  </si>
  <si>
    <t xml:space="preserve">  → F&amp;B · SUMMARY  (Cross-pillar attached — Gaming/Events/Museum visitor spend)</t>
  </si>
  <si>
    <t xml:space="preserve">  Academy</t>
  </si>
  <si>
    <t xml:space="preserve">  → Academy · SUMMARY  (6 specialized labs + classrooms · B2C + B2B Corporate Training)</t>
  </si>
  <si>
    <t xml:space="preserve">  Gaming</t>
  </si>
  <si>
    <t xml:space="preserve">  → Gaming · SUMMARY  (VR + Arcade + Redemption + Party · traffic engine)</t>
  </si>
  <si>
    <t xml:space="preserve">  Esports</t>
  </si>
  <si>
    <t xml:space="preserve">  → Esports · SUMMARY  (Members + tournaments + walk-ins · gamer monetization)</t>
  </si>
  <si>
    <t xml:space="preserve">  Museum</t>
  </si>
  <si>
    <t xml:space="preserve">  → Museum · SUMMARY  (Cultural anchor · Moroccan Future &amp; Culture · drives cross-pillar traffic)</t>
  </si>
  <si>
    <t xml:space="preserve">  Sponsorships</t>
  </si>
  <si>
    <t xml:space="preserve">  → Sponsorships · SUMMARY  (4 sponsorship streams · 76% margin · highest cash-on-cash)</t>
  </si>
  <si>
    <t xml:space="preserve">  Borderless</t>
  </si>
  <si>
    <t xml:space="preserve">  → Borderless · SUMMARY  (Talent Agency + Education + Production · asset-light scale)</t>
  </si>
  <si>
    <t xml:space="preserve">  Subleasing</t>
  </si>
  <si>
    <t xml:space="preserve">  → Subleasing · SUMMARY  (60 tenants × commercial rent · stability + fixed-cost cover)</t>
  </si>
  <si>
    <t xml:space="preserve">  TOTAL (9 pillars)</t>
  </si>
  <si>
    <t xml:space="preserve">  PLATFORM EBITDA (after Group Overhead)</t>
  </si>
  <si>
    <t xml:space="preserve">  Investor headline number</t>
  </si>
  <si>
    <t xml:space="preserve">◆  EACH  PILLAR  HAS  THESE  16  TABS</t>
  </si>
  <si>
    <t xml:space="preserve">  1. SUMMARY</t>
  </si>
  <si>
    <t xml:space="preserve">Headline metrics + Y1-Y8 forecast + investor positioning</t>
  </si>
  <si>
    <t xml:space="preserve">  2. Drivers</t>
  </si>
  <si>
    <t xml:space="preserve">All input assumptions (yellow input cells)</t>
  </si>
  <si>
    <t xml:space="preserve">  3. Revenue</t>
  </si>
  <si>
    <t xml:space="preserve">Stream-by-stream revenue build</t>
  </si>
  <si>
    <t xml:space="preserve">  4. Costs</t>
  </si>
  <si>
    <t xml:space="preserve">Variable + fixed cost build</t>
  </si>
  <si>
    <t xml:space="preserve">  5. 8-Year</t>
  </si>
  <si>
    <t xml:space="preserve">Y1-Y8 P&amp;L projection</t>
  </si>
  <si>
    <t xml:space="preserve">  6. P&amp;L</t>
  </si>
  <si>
    <t xml:space="preserve">Income statement format</t>
  </si>
  <si>
    <t xml:space="preserve">  7. MASTER LINK</t>
  </si>
  <si>
    <t xml:space="preserve">Live links to Master tabs (audit trail)</t>
  </si>
  <si>
    <t xml:space="preserve">  8. Sensitivity</t>
  </si>
  <si>
    <t xml:space="preserve">Sensitivity to key drivers</t>
  </si>
  <si>
    <t xml:space="preserve">  9. Benchmarks</t>
  </si>
  <si>
    <t xml:space="preserve">Industry comparisons (where benchmarks exist)</t>
  </si>
  <si>
    <t xml:space="preserve">  10. Cash Flow</t>
  </si>
  <si>
    <t xml:space="preserve">Operating cash flow build</t>
  </si>
  <si>
    <t xml:space="preserve">  11. Unit Economics</t>
  </si>
  <si>
    <t xml:space="preserve">Unit-level economics (per visitor / event / student)</t>
  </si>
  <si>
    <t xml:space="preserve">  12. Breakeven</t>
  </si>
  <si>
    <t xml:space="preserve">Breakeven analysis</t>
  </si>
  <si>
    <t xml:space="preserve">  13. Capacity Ceiling</t>
  </si>
  <si>
    <t xml:space="preserve">Physical &amp; operational capacity limits</t>
  </si>
  <si>
    <t xml:space="preserve">  14. KPI Dashboard</t>
  </si>
  <si>
    <t xml:space="preserve">Operational + financial KPIs</t>
  </si>
  <si>
    <t xml:space="preserve">  15. Scenarios</t>
  </si>
  <si>
    <t xml:space="preserve">Bear/Base/Bull active scenario data</t>
  </si>
  <si>
    <t xml:space="preserve">  16. Assumptions</t>
  </si>
  <si>
    <t xml:space="preserve">Audit register · confidence levels · sources</t>
  </si>
  <si>
    <t xml:space="preserve">⊙  EXCEPTIONS: Academy has 17 tabs (additional "Weekly Schedule" tab). Borderless includes the master "Borderless Mod" tab. All other pillars: standard 16-tab structure.</t>
  </si>
  <si>
    <t xml:space="preserve">⊙  PIXOUL · THE MEDINA LAB · CASABLANCA · UNIVERSAL MASTER FINANCIAL MODEL · v2 STANDARDIZED</t>
  </si>
  <si>
    <t xml:space="preserve">  Executive Summary · Headline KPIs · Master Toggle</t>
  </si>
  <si>
    <t xml:space="preserve">PIXOUL · MEDINA LAB · MASTER  </t>
  </si>
  <si>
    <t xml:space="preserve">  Top-line story · Y4 mature · Cross-pillar diversification</t>
  </si>
  <si>
    <t xml:space="preserve">🎯  MASTER  SCENARIO  TOGGLE  (set H7 to BEAR / BASE / BULL — cascades to all sheets)</t>
  </si>
  <si>
    <t xml:space="preserve">  Active Scenario:</t>
  </si>
  <si>
    <t xml:space="preserve">→</t>
  </si>
  <si>
    <t xml:space="preserve">BASE</t>
  </si>
  <si>
    <t xml:space="preserve">ⓘ Cascade: ES!H7 → MASTER_ASSUMPTIONS!C7 → 9 Pillar SUMMARY!H7 → Pillar Drivers!G5 → Pillar Revenue/Costs → Consolidated P&amp;L → KPI Dashboard → DEAL_ARCHITECTURE</t>
  </si>
  <si>
    <t xml:space="preserve">◆  HEADLINE  ECOSYSTEM  METRICS  AT  MATURITY  (Y4)</t>
  </si>
  <si>
    <t xml:space="preserve">Metric</t>
  </si>
  <si>
    <t xml:space="preserve">Total Revenue</t>
  </si>
  <si>
    <t xml:space="preserve">Direct Costs</t>
  </si>
  <si>
    <t xml:space="preserve">EBITDA</t>
  </si>
  <si>
    <t xml:space="preserve">Margin %</t>
  </si>
  <si>
    <t xml:space="preserve">  Y4 Platform (after Group Overhead)</t>
  </si>
  <si>
    <t xml:space="preserve">  Event demand coverage (funnel ÷ plan)</t>
  </si>
  <si>
    <t xml:space="preserve">→ See Events · Drivers row 142</t>
  </si>
  <si>
    <t xml:space="preserve">   Pillar EBITDA before overhead:</t>
  </si>
  <si>
    <t xml:space="preserve">◆  REVENUE  BY  PILLAR  (Y4 mature · active scenario)</t>
  </si>
  <si>
    <t xml:space="preserve">% Mix</t>
  </si>
  <si>
    <t xml:space="preserve">  Gaming Hall</t>
  </si>
  <si>
    <t xml:space="preserve">  Events Hall</t>
  </si>
  <si>
    <t xml:space="preserve">  Esports Lounge</t>
  </si>
  <si>
    <t xml:space="preserve">  ECOSYSTEM TOTAL</t>
  </si>
  <si>
    <t xml:space="preserve">◆  KEY  INVESTOR  HIGHLIGHTS</t>
  </si>
  <si>
    <t xml:space="preserve">⚠  HONEST  MODEL  FLAGS</t>
  </si>
  <si>
    <t xml:space="preserve">◆  PLATFORM  EBITDA  (after Group / Corporate Overhead)</t>
  </si>
  <si>
    <t xml:space="preserve">Amount</t>
  </si>
  <si>
    <t xml:space="preserve">Note</t>
  </si>
  <si>
    <t xml:space="preserve">  Total Pillar EBITDA (sum of 9 pillars)</t>
  </si>
  <si>
    <t xml:space="preserve">  Sum of pillar direct margins</t>
  </si>
  <si>
    <t xml:space="preserve">  (-) Group / Corporate Overhead</t>
  </si>
  <si>
    <t xml:space="preserve">  CEO / Finance / Marketing / Admin</t>
  </si>
  <si>
    <t xml:space="preserve">  PLATFORM EBITDA</t>
  </si>
  <si>
    <t xml:space="preserve">  KEY METRIC for investors</t>
  </si>
  <si>
    <t xml:space="preserve">  PLATFORM EBITDA Margin</t>
  </si>
  <si>
    <t xml:space="preserve">  vs Total Revenue</t>
  </si>
  <si>
    <t xml:space="preserve">◆  CAPITAL  STRUCTURE  SNAPSHOT  (May 2026 — current)</t>
  </si>
  <si>
    <t xml:space="preserve">  Total CapEx required</t>
  </si>
  <si>
    <t xml:space="preserve">⊙ 6,300 sqm fitout + equipment + pre-launch</t>
  </si>
  <si>
    <t xml:space="preserve">  Investment secured (9 sources)</t>
  </si>
  <si>
    <t xml:space="preserve">⊙ Lessor + SMIT + MoC + Equipment Loan + Suppliers etc.</t>
  </si>
  <si>
    <t xml:space="preserve">  Round 1 Equity Required</t>
  </si>
  <si>
    <t xml:space="preserve">⊙ Equity check from investor (Round 1)</t>
  </si>
  <si>
    <t xml:space="preserve">  Round 1 Equity %</t>
  </si>
  <si>
    <t xml:space="preserve">  Pre-money valuation</t>
  </si>
  <si>
    <t xml:space="preserve">⊙ Pre-Round 1 implied</t>
  </si>
  <si>
    <t xml:space="preserve">  Post-money valuation</t>
  </si>
  <si>
    <t xml:space="preserve">⊙ After Round 1 close</t>
  </si>
  <si>
    <t xml:space="preserve">  Y4 EBITDA multiple (post-money Round 1)</t>
  </si>
  <si>
    <t xml:space="preserve">◆  INVESTOR  RETURNS  SNAPSHOT  (3-stage: Round 1 → Round 2 secondary → Y3 IPO exit)</t>
  </si>
  <si>
    <t xml:space="preserve">Exit Value at Y3 BVC IPO</t>
  </si>
  <si>
    <t xml:space="preserve">  Round 2 valuation (Y1 2027 secondary)</t>
  </si>
  <si>
    <t xml:space="preserve">⊙ Pure secondary — LP can sell some/all of allocation at Y1 (33% of co. exchanges hands)</t>
  </si>
  <si>
    <t xml:space="preserve">  LP MOIC at Y3 exit (mandatory-only Round 2)</t>
  </si>
  <si>
    <t xml:space="preserve">⊙ Investor share + cumulative dividends</t>
  </si>
  <si>
    <t xml:space="preserve">  LP IRR at Y3 exit (mandatory-only Round 2)</t>
  </si>
  <si>
    <t xml:space="preserve">⊙ Multiple of invested capital</t>
  </si>
  <si>
    <t xml:space="preserve">  Equity IRR (Y7 base)</t>
  </si>
  <si>
    <t xml:space="preserve">⊙ Annualized return</t>
  </si>
  <si>
    <t xml:space="preserve">  Expected NPV (P10/P50/P90)</t>
  </si>
  <si>
    <t xml:space="preserve">⊙ 15/70/15 probability-weighted</t>
  </si>
  <si>
    <t xml:space="preserve">◆  HEADLINE  KEY  PERFORMANCE  INDICATORS  (KPIs)  ·  Investor One-Pager Summary</t>
  </si>
  <si>
    <t xml:space="preserve">A.  DEAL  TERMS  ·  Round 1 (R1) Capital Raise · May 2026</t>
  </si>
  <si>
    <t xml:space="preserve">  Round 1 (R1) Equity Check</t>
  </si>
  <si>
    <t xml:space="preserve">  Limited Partner (LP) Stake</t>
  </si>
  <si>
    <t xml:space="preserve">  Post-Money Valuation</t>
  </si>
  <si>
    <t xml:space="preserve">  Total Project Capital Expenditure (CapEx)</t>
  </si>
  <si>
    <t xml:space="preserve">  Cash CapEx (Investor-Deployed · ex Contributed Lessor)</t>
  </si>
  <si>
    <t xml:space="preserve">  Y3 Exit Value (BVC IPO @ EBITDA × Multiple)</t>
  </si>
  <si>
    <t xml:space="preserve">B.  LIMITED PARTNER (LP) RETURNS  ·  Y3 BVC IPO Primary Exit  ·  Pre-Subsidy → Uplift → Post-Subsidy</t>
  </si>
  <si>
    <t xml:space="preserve">Pre-Subsidy (Standard Morocco)</t>
  </si>
  <si>
    <t xml:space="preserve">Subsidy Uplift (SMIT Package)</t>
  </si>
  <si>
    <t xml:space="preserve">Post-Subsidy (Net to LP)</t>
  </si>
  <si>
    <t xml:space="preserve">  Multiple on Invested Capital (MOIC) — 3.5-yr hold</t>
  </si>
  <si>
    <t xml:space="preserve">  Internal Rate of Return (IRR) — annualized</t>
  </si>
  <si>
    <t xml:space="preserve">  Return on Investment (ROI) — total cash return</t>
  </si>
  <si>
    <t xml:space="preserve">  Equity Payback Period (years to recover LP capital)</t>
  </si>
  <si>
    <t xml:space="preserve">  Avg IRR Y3-Y7 (institutional 5-yr window, all-hold avg)</t>
  </si>
  <si>
    <t xml:space="preserve">C.  GOVERNMENT  INCENTIVE  VALUE  ·  Morocco SMIT (Société Marocaine d'Ingénierie Touristique)</t>
  </si>
  <si>
    <t xml:space="preserve">  (+) Corporate Income Tax (CIT) Savings — Y1-Y5 holiday @ 15.5% on positive EBT</t>
  </si>
  <si>
    <t xml:space="preserve">  (+) Payroll Tax Exemption — Charte de l'Investissement · Y1-Y5 ramp-weighted</t>
  </si>
  <si>
    <t xml:space="preserve">  (+) Dividend Withholding Tax (WHT) Saved — Y2-Y3 dividends × 15% standard rate</t>
  </si>
  <si>
    <t xml:space="preserve">  (+) CapEx Grant — 15% of total CapEx (Government direct contribution to project)</t>
  </si>
  <si>
    <t xml:space="preserve">  ◆  Total Government Incentive Value to Project (CIT + Payroll + WHT + CapEx Grant)</t>
  </si>
  <si>
    <t xml:space="preserve">  ◆  LP Investor Share of Incentive Value (× LP Stake 45%)</t>
  </si>
  <si>
    <t xml:space="preserve">ⓘ  Acronym key (alphabetical):</t>
  </si>
  <si>
    <t xml:space="preserve">   BVC = Bourse des Valeurs de Casablanca (Casablanca Stock Exchange)</t>
  </si>
  <si>
    <t xml:space="preserve">   CapEx = Capital Expenditure  ·  CT/CIT = Corporate (Income) Tax  (15.5% Morocco standard; 0% Y1-Y5 SMIT holiday)</t>
  </si>
  <si>
    <t xml:space="preserve">   Charte de l'Investissement = Morocco Investment Charter (Law 03-22) — enables payroll tax exemption (~18-20%)</t>
  </si>
  <si>
    <t xml:space="preserve">   DWT/WHT = Dividend Withholding Tax (15% Morocco standard rate; 0% LP-exempt under SMIT)</t>
  </si>
  <si>
    <t xml:space="preserve">   EBITDA = Earnings Before Interest, Taxes, Depreciation &amp; Amortization  ·  EBT = Earnings Before Tax</t>
  </si>
  <si>
    <t xml:space="preserve">   IPO = Initial Public Offering  ·  IRR = Internal Rate of Return  ·  KPI = Key Performance Indicator</t>
  </si>
  <si>
    <t xml:space="preserve">   LP = Limited Partner  ·  GP = General Partner  ·  R1/R2 = Round 1 / Round 2 capital raises</t>
  </si>
  <si>
    <t xml:space="preserve">   MOIC = Multiple on Invested Capital  ·  ROI = Return on Investment  ·  NPV = Net Present Value</t>
  </si>
  <si>
    <t xml:space="preserve">   MoU = Memorandum of Understanding (signed March 2026 with SMIT Director-General Imad Barrakad)</t>
  </si>
  <si>
    <t xml:space="preserve">   SMIT = Société Marocaine d'Ingénierie Touristique (Moroccan Tourism Engineering Company)</t>
  </si>
  <si>
    <t xml:space="preserve">   WACC = Weighted Average Cost of Capital</t>
  </si>
  <si>
    <t xml:space="preserve">MASTER ASSUMPTIONS — Centralized control panel</t>
  </si>
  <si>
    <t xml:space="preserve">All major scenario toggles, deal terms, and key assumptions in one place. Live-linked downstream.</t>
  </si>
  <si>
    <t xml:space="preserve">A.  SCENARIO  TOGGLE  (cascades to all pillars + Master Revenue + Master OpEx)</t>
  </si>
  <si>
    <t xml:space="preserve">Master Scenario (controls Exec Summary!H7):</t>
  </si>
  <si>
    <t xml:space="preserve">⊙ Edit Exec Summary!H7 to BEAR / BASE / BULL</t>
  </si>
  <si>
    <t xml:space="preserve">Active scenario verification:</t>
  </si>
  <si>
    <t xml:space="preserve">⊙ Matches above (sanity check)</t>
  </si>
  <si>
    <t xml:space="preserve">B.  DEAL  TERMS  (locked v55)</t>
  </si>
  <si>
    <t xml:space="preserve">Round 1 (May 2026)</t>
  </si>
  <si>
    <t xml:space="preserve">  Equity check ($)</t>
  </si>
  <si>
    <t xml:space="preserve">  Post-money valuation ($)</t>
  </si>
  <si>
    <t xml:space="preserve">  LP stake (%)</t>
  </si>
  <si>
    <t xml:space="preserve">  Founders stake (%)</t>
  </si>
  <si>
    <t xml:space="preserve">Round 2 (2027 — pure secondary, no new money)</t>
  </si>
  <si>
    <t xml:space="preserve">  Round 2 valuation ($)</t>
  </si>
  <si>
    <t xml:space="preserve">  % of company sold (pro-rata)</t>
  </si>
  <si>
    <t xml:space="preserve">  LP allocation in Round 2 (33% × LP stake)</t>
  </si>
  <si>
    <t xml:space="preserve">  LP mandatory sale (50% of allocation)</t>
  </si>
  <si>
    <t xml:space="preserve">  LP optional sale (additional 50%)</t>
  </si>
  <si>
    <t xml:space="preserve">Exit (2029 — BVC IPO with strategic anchor)</t>
  </si>
  <si>
    <t xml:space="preserve">  Exit valuation ($) [DERIVED]</t>
  </si>
  <si>
    <t xml:space="preserve">⊙ Exit Value = Y3 Platform EBITDA × Exit Multiple (C27). Edit C27 to change multiple.</t>
  </si>
  <si>
    <t xml:space="preserve">  Exit EBITDA multiple (INPUT, default 16×)</t>
  </si>
  <si>
    <t xml:space="preserve">⊙ Edit C27 to test other multiples. 10× = financial buyer, 16× = MENA leisure stable, 22× = strategic premium.</t>
  </si>
  <si>
    <t xml:space="preserve">  Y3 EBITDA (reference, drives Exit)</t>
  </si>
  <si>
    <t xml:space="preserve">⊙ Locked: same price as IPO (anchor at IPO price)</t>
  </si>
  <si>
    <t xml:space="preserve">  Exit type</t>
  </si>
  <si>
    <t xml:space="preserve">100% IPO + Strategic Anchor</t>
  </si>
  <si>
    <t xml:space="preserve">  Founders + LP full exit at 2029?</t>
  </si>
  <si>
    <t xml:space="preserve">YES</t>
  </si>
  <si>
    <t xml:space="preserve">C.  KEY  MODEL  ASSUMPTIONS  (drive financial output)</t>
  </si>
  <si>
    <t xml:space="preserve">Operational</t>
  </si>
  <si>
    <t xml:space="preserve">  Y1 ramp factor (vs Y4 mature)</t>
  </si>
  <si>
    <t xml:space="preserve">  Y4 → Y5 inflation factor</t>
  </si>
  <si>
    <t xml:space="preserve">  Title sponsor close probability</t>
  </si>
  <si>
    <t xml:space="preserve">  WACC (for NPV/DCF)</t>
  </si>
  <si>
    <t xml:space="preserve">Capital Stack</t>
  </si>
  <si>
    <t xml:space="preserve">  Total Project Value ($)</t>
  </si>
  <si>
    <t xml:space="preserve">  Cash CapEx (investor-deployed)</t>
  </si>
  <si>
    <t xml:space="preserve">  Contributed Assets (Lessor land + construction)</t>
  </si>
  <si>
    <t xml:space="preserve">  Equipment Loan rate</t>
  </si>
  <si>
    <t xml:space="preserve">  Equipment Loan term (yrs)</t>
  </si>
  <si>
    <t xml:space="preserve">  Equipment Loan LTV (% of equipment cost)</t>
  </si>
  <si>
    <t xml:space="preserve">D.  SCENARIO  PROBABILITIES  (probability-weighted)</t>
  </si>
  <si>
    <t xml:space="preserve">  Bear probability</t>
  </si>
  <si>
    <t xml:space="preserve">  Base probability</t>
  </si>
  <si>
    <t xml:space="preserve">  Bull probability</t>
  </si>
  <si>
    <t xml:space="preserve">  Sum (must = 100%)</t>
  </si>
  <si>
    <t xml:space="preserve">E.  KEY  OUTPUTS  (live from model — read-only)</t>
  </si>
  <si>
    <t xml:space="preserve">  Y4 Revenue (Active scenario)</t>
  </si>
  <si>
    <t xml:space="preserve">  Y4 Platform EBITDA (Active scenario)</t>
  </si>
  <si>
    <t xml:space="preserve">  Y4 Platform Margin</t>
  </si>
  <si>
    <t xml:space="preserve">  Y4 Pillar EBITDA (before Group OH)</t>
  </si>
  <si>
    <t xml:space="preserve">  Y4 Group Overhead</t>
  </si>
  <si>
    <t xml:space="preserve">F.  HOW  TO  USE  THIS  TAB</t>
  </si>
  <si>
    <t xml:space="preserve">⊙ All YELLOW cells are EDITABLE inputs that drive the model. Change them here, not in individual tabs.</t>
  </si>
  <si>
    <t xml:space="preserve">⊙ All GREEN cells are LIVE OUTPUTS that update automatically.</t>
  </si>
  <si>
    <t xml:space="preserve">⊙ Scenario toggle (B7) is the single switch that cascades Bear/Base/Bull across the entire model.</t>
  </si>
  <si>
    <t xml:space="preserve">⊙ Deal terms (B12-B30) are locked v55. To re-price, edit the YELLOW cells and downstream returns recompute.</t>
  </si>
  <si>
    <t xml:space="preserve">⊙ DO NOT edit individual pillar Drivers tabs for scenario testing — use the toggle here.</t>
  </si>
  <si>
    <t xml:space="preserve">G.  GOVERNMENT  SUBSIDY  ADJUSTMENTS  (Morocco — SMIT investment agreement + tax holiday)</t>
  </si>
  <si>
    <t xml:space="preserve">  Corporate Income Tax (CIT) holiday — years exempt</t>
  </si>
  <si>
    <t xml:space="preserve">  Dividend Withholding Tax (WHT) — standard non-resident rate</t>
  </si>
  <si>
    <t xml:space="preserve">  Dividend Withholding Tax (WHT) — LP applicable rate (post-subsidy)</t>
  </si>
  <si>
    <t xml:space="preserve">  Employer Social Tax exemption — % of pillar payroll saved</t>
  </si>
  <si>
    <t xml:space="preserve">G.  SCENARIO  CALIBRATION  NOTES</t>
  </si>
  <si>
    <t xml:space="preserve">Live tested cascade results (Y4 revenue / Y3 EBITDA / LP Y3 MOIC):</t>
  </si>
  <si>
    <t xml:space="preserve">  BEAR: $2.4M revenue / -$1.45M EBITDA / -1.00× MOIC  (total loss)</t>
  </si>
  <si>
    <t xml:space="preserve">  BASE: $6.3M revenue / $1.83M EBITDA / 1.70× MOIC  (institutional acceptable)</t>
  </si>
  <si>
    <t xml:space="preserve">  BULL: $20.0M revenue / $11.95M EBITDA / 10.02× MOIC  (aggressive ceiling)</t>
  </si>
  <si>
    <t xml:space="preserve">⚠ Calibration recommendation: Bear scenario currently too punishing (revenue -63%); Bull too optimistic (revenue +214%).</t>
  </si>
  <si>
    <t xml:space="preserve">  Institutional range typically: BEAR -25% to -35%, BULL +20% to +35% vs BASE.</t>
  </si>
  <si>
    <t xml:space="preserve">  Refine per-pillar Bear/Bull driver values in Pillar Drivers tabs (column C = Bear, E = Bull).</t>
  </si>
  <si>
    <t xml:space="preserve">H.  SCENARIO  CALIBRATION  (per-pillar Bear/Bull values currently aggregate to -58%/+150% — outside ±25-35% institutional norms)</t>
  </si>
  <si>
    <t xml:space="preserve">ⓘ Recommended institutional norms (for future calibration):</t>
  </si>
  <si>
    <t xml:space="preserve">  Bear revenue multiplier vs Base:  0.70 (-30%)</t>
  </si>
  <si>
    <t xml:space="preserve">  Bull revenue multiplier vs Base:  1.30 (+30%)</t>
  </si>
  <si>
    <t xml:space="preserve">  Bear cost multiplier (variable costs flex):  0.85</t>
  </si>
  <si>
    <t xml:space="preserve">  Bull cost multiplier:  1.15</t>
  </si>
  <si>
    <t xml:space="preserve">ⓘ Calibration path: Edit each pillar Drivers!C7-C20 (Bear column) to be ~70% of D-column (Base), and E7-E20 (Bull) to ~130% of D-column. This is per-pillar work (9 pillars × 10-15 drivers each = ~120 edits). Current per-pillar spread:</t>
  </si>
  <si>
    <t xml:space="preserve">  Gaming:       Bear -37% / Bull +50%   (close to institutional)</t>
  </si>
  <si>
    <t xml:space="preserve">  Events:       Bear -49% / Bull +276%  (Bull too aggressive)</t>
  </si>
  <si>
    <t xml:space="preserve">  Academy:      Bear -72% / Bull +44%   (Bear too punishing)</t>
  </si>
  <si>
    <t xml:space="preserve">  Esports:      Bear -72% / Bull +188%  (both extreme)</t>
  </si>
  <si>
    <t xml:space="preserve">  Museum:       Bear -60% / Bull +159%  (both extreme)</t>
  </si>
  <si>
    <t xml:space="preserve">  Subleasing:   Bear -51% / Bull +46%   (Bear too punishing)</t>
  </si>
  <si>
    <t xml:space="preserve">  F&amp;B:          Bear -38% / Bull +220%  (Bull too aggressive)</t>
  </si>
  <si>
    <t xml:space="preserve">  Sponsorships: Bear -93% / Bull +372%  (both extreme — sponsorship deal-flow risk)</t>
  </si>
  <si>
    <t xml:space="preserve">  Borderless:   Bear -74% / Bull +160%  (both extreme — virtual scaling risk)</t>
  </si>
  <si>
    <t xml:space="preserve">  ◆ Institutional Calibration Mode (overrides pillar Bear/Bull)</t>
  </si>
  <si>
    <t xml:space="preserve">PILLAR_NATIVE</t>
  </si>
  <si>
    <t xml:space="preserve">   Options: "PILLAR_NATIVE" (current Bear/Bull pillar values) or "INSTITUTIONAL" (±30% global override)</t>
  </si>
  <si>
    <t xml:space="preserve">  Bear revenue multiplier (institutional mode)</t>
  </si>
  <si>
    <t xml:space="preserve">  Bull revenue multiplier (institutional mode)</t>
  </si>
  <si>
    <t xml:space="preserve">UNIVERSAL DRIVERS — Single Source of Truth for All Cross-Cutting Assumptions</t>
  </si>
  <si>
    <t xml:space="preserve">YELLOW = inputs · BLUE = cross-tab links to MASTER_ASSUMPTIONS · Every pillar references THIS tab, not local cells</t>
  </si>
  <si>
    <t xml:space="preserve">A.  MACROECONOMIC  DRIVERS</t>
  </si>
  <si>
    <t xml:space="preserve">Driver</t>
  </si>
  <si>
    <t xml:space="preserve">Value</t>
  </si>
  <si>
    <t xml:space="preserve">Unit</t>
  </si>
  <si>
    <t xml:space="preserve">Source / Note</t>
  </si>
  <si>
    <t xml:space="preserve">Named Range</t>
  </si>
  <si>
    <t xml:space="preserve">General inflation (Morocco CPI)</t>
  </si>
  <si>
    <t xml:space="preserve">% / yr</t>
  </si>
  <si>
    <t xml:space="preserve">BAM 2024-25 actual; 3% used as forward estimate</t>
  </si>
  <si>
    <t xml:space="preserve">inflation_general</t>
  </si>
  <si>
    <t xml:space="preserve">Salary inflation (Morocco)</t>
  </si>
  <si>
    <t xml:space="preserve">HCP labor data; 4% used (slightly above CPI)</t>
  </si>
  <si>
    <t xml:space="preserve">inflation_salary</t>
  </si>
  <si>
    <t xml:space="preserve">USD/MAD FX</t>
  </si>
  <si>
    <t xml:space="preserve">MAD per USD</t>
  </si>
  <si>
    <t xml:space="preserve">BAM 2026 avg; model uses USD throughout</t>
  </si>
  <si>
    <t xml:space="preserve">fx_usd_mad</t>
  </si>
  <si>
    <t xml:space="preserve">Corporate tax rate</t>
  </si>
  <si>
    <t xml:space="preserve">% (Y1-Y5)</t>
  </si>
  <si>
    <t xml:space="preserve">SMIT 5-year tax holiday confirmed; 20% from Y6</t>
  </si>
  <si>
    <t xml:space="preserve">corp_tax_rate</t>
  </si>
  <si>
    <t xml:space="preserve">VAT</t>
  </si>
  <si>
    <t xml:space="preserve">%</t>
  </si>
  <si>
    <t xml:space="preserve">Standard Moroccan VAT; SMIT exemption on capex imports</t>
  </si>
  <si>
    <t xml:space="preserve">tax_vat</t>
  </si>
  <si>
    <t xml:space="preserve">WACC for NPV/DCF</t>
  </si>
  <si>
    <t xml:space="preserve">See MASTER_ASSUMPTIONS C39; MENA leisure benchmark</t>
  </si>
  <si>
    <t xml:space="preserve">wacc</t>
  </si>
  <si>
    <t xml:space="preserve">B.  PILLAR  OPERATING  DRIVERS  (Universal — used across multiple pillars)</t>
  </si>
  <si>
    <t xml:space="preserve">Y1 ramp factor (vs Y4 mature)</t>
  </si>
  <si>
    <t xml:space="preserve">Standard FEC ramp; ref MASTER_ASSUMPTIONS</t>
  </si>
  <si>
    <t xml:space="preserve">ramp_y1</t>
  </si>
  <si>
    <t xml:space="preserve">Y2 ramp factor</t>
  </si>
  <si>
    <t xml:space="preserve">Standard FEC ramp</t>
  </si>
  <si>
    <t xml:space="preserve">ramp_y2</t>
  </si>
  <si>
    <t xml:space="preserve">Y3+ ramp factor</t>
  </si>
  <si>
    <t xml:space="preserve">Mature operations</t>
  </si>
  <si>
    <t xml:space="preserve">ramp_y3</t>
  </si>
  <si>
    <t xml:space="preserve">Y4→Y5+ revenue inflation</t>
  </si>
  <si>
    <t xml:space="preserve">Conservative pricing growth post-mature</t>
  </si>
  <si>
    <t xml:space="preserve">rev_inflation_y5</t>
  </si>
  <si>
    <t xml:space="preserve">Working capital — % of revenue</t>
  </si>
  <si>
    <t xml:space="preserve">Net AR/AP assumed 0 (mostly cash business)</t>
  </si>
  <si>
    <t xml:space="preserve">wc_pct_rev</t>
  </si>
  <si>
    <t xml:space="preserve">Maintenance CapEx — % of revenue</t>
  </si>
  <si>
    <t xml:space="preserve">2% reserve for equipment refresh</t>
  </si>
  <si>
    <t xml:space="preserve">maintenance_capex_pct</t>
  </si>
  <si>
    <t xml:space="preserve">Title sponsor close probability</t>
  </si>
  <si>
    <t xml:space="preserve">Conservative — modeled at 30% (Bear); 50%+ Bull</t>
  </si>
  <si>
    <t xml:space="preserve">sponsor_close_prob</t>
  </si>
  <si>
    <t xml:space="preserve">Customer churn (Academy monthly)</t>
  </si>
  <si>
    <t xml:space="preserve">5% monthly attrition on subscription tier</t>
  </si>
  <si>
    <t xml:space="preserve">churn_academy</t>
  </si>
  <si>
    <t xml:space="preserve">Conversion: footfall → F&amp;B</t>
  </si>
  <si>
    <t xml:space="preserve">Industry benchmark for FEC F&amp;B attach rate</t>
  </si>
  <si>
    <t xml:space="preserve">conv_fnb</t>
  </si>
  <si>
    <t xml:space="preserve">Conversion: Gaming → Academy trial</t>
  </si>
  <si>
    <t xml:space="preserve">Trial-to-paid funnel benchmark</t>
  </si>
  <si>
    <t xml:space="preserve">conv_academy</t>
  </si>
  <si>
    <t xml:space="preserve">Average ticket inflation (post-Y5)</t>
  </si>
  <si>
    <t xml:space="preserve">Conservative pricing increase</t>
  </si>
  <si>
    <t xml:space="preserve">ticket_inflation</t>
  </si>
  <si>
    <t xml:space="preserve">Utilization cap (gaming + events)</t>
  </si>
  <si>
    <t xml:space="preserve">Max realistic capacity utilization</t>
  </si>
  <si>
    <t xml:space="preserve">utilization_cap</t>
  </si>
  <si>
    <t xml:space="preserve">  Y8→Y9+ revenue inflation (terminal)</t>
  </si>
  <si>
    <t xml:space="preserve">rev_infl_terminal</t>
  </si>
  <si>
    <t xml:space="preserve">  Franchise fee % of revenue</t>
  </si>
  <si>
    <t xml:space="preserve">franchise_fee_rate</t>
  </si>
  <si>
    <t xml:space="preserve">  Bear case demand multiplier</t>
  </si>
  <si>
    <t xml:space="preserve">bear_demand_mult</t>
  </si>
  <si>
    <t xml:space="preserve">  Base case demand multiplier</t>
  </si>
  <si>
    <t xml:space="preserve">base_demand_mult</t>
  </si>
  <si>
    <t xml:space="preserve">Equipment Loan rate</t>
  </si>
  <si>
    <t xml:space="preserve">Live link — term sheet signed</t>
  </si>
  <si>
    <t xml:space="preserve">rate_equipment</t>
  </si>
  <si>
    <t xml:space="preserve">Equipment Loan term</t>
  </si>
  <si>
    <t xml:space="preserve">years</t>
  </si>
  <si>
    <t xml:space="preserve">Live link</t>
  </si>
  <si>
    <t xml:space="preserve">term_equipment</t>
  </si>
  <si>
    <t xml:space="preserve">Working Capital Facility rate</t>
  </si>
  <si>
    <t xml:space="preserve">8% APR (added v67)</t>
  </si>
  <si>
    <t xml:space="preserve">rate_wcf</t>
  </si>
  <si>
    <t xml:space="preserve">Working Capital Facility term</t>
  </si>
  <si>
    <t xml:space="preserve">Standard LOC structure</t>
  </si>
  <si>
    <t xml:space="preserve">term_wcf</t>
  </si>
  <si>
    <t xml:space="preserve">Supplier credit rate</t>
  </si>
  <si>
    <t xml:space="preserve">0% trade credit (no interest)</t>
  </si>
  <si>
    <t xml:space="preserve">rate_suppliers</t>
  </si>
  <si>
    <t xml:space="preserve">Supplier credit term</t>
  </si>
  <si>
    <t xml:space="preserve">Vendor-negotiated</t>
  </si>
  <si>
    <t xml:space="preserve">term_suppliers</t>
  </si>
  <si>
    <t xml:space="preserve">D.  HOW  TO  USE  THIS  TAB</t>
  </si>
  <si>
    <t xml:space="preserve">  NPV per $1 of Y4 ΔEBITDA (scenarios)</t>
  </si>
  <si>
    <t xml:space="preserve">npv_per_ebitda_delta</t>
  </si>
  <si>
    <t xml:space="preserve">⊙ EVERY pillar should reference values from THIS tab via cross-tab formulas instead of hardcoding.</t>
  </si>
  <si>
    <t xml:space="preserve">Example: Instead of hardcoded "=C12*1.03" in Gaming · Revenue,</t>
  </si>
  <si>
    <t xml:space="preserve">   Write: "=C12*(1+UNIVERSAL_DRIVERS!C12)" referencing rev_inflation_y5</t>
  </si>
  <si>
    <t xml:space="preserve">⊙ NAMED RANGES (Tier 2+ work):</t>
  </si>
  <si>
    <t xml:space="preserve">   Future: each Named Range column (F) should be defined as actual Excel named range.</t>
  </si>
  <si>
    <t xml:space="preserve">   This allows formulas to read like: "=Revenue*(1+inflation_general)" — institutionally elegant.</t>
  </si>
  <si>
    <t xml:space="preserve">⊙ STATUS:</t>
  </si>
  <si>
    <t xml:space="preserve">   • Macro drivers: populated (Section A)</t>
  </si>
  <si>
    <t xml:space="preserve">   • Operating drivers: populated (Section B) — pillar refactoring pending future session</t>
  </si>
  <si>
    <t xml:space="preserve">   • Debt drivers: populated (Section C) with live-links to MASTER_ASSUMPTIONS where applicable</t>
  </si>
  <si>
    <t xml:space="preserve">   • Named ranges: column F shows intended labels — formal range definition pending</t>
  </si>
  <si>
    <t xml:space="preserve">F.  GOVERNMENT  INCENTIVES  (SMIT / Charte de l'Investissement / Ministry of Tourism)</t>
  </si>
  <si>
    <t xml:space="preserve">  Driver</t>
  </si>
  <si>
    <t xml:space="preserve">  Corporate Tax (CT) holiday — years (Y1-Y5 at 0%)</t>
  </si>
  <si>
    <t xml:space="preserve">ct_holiday_years</t>
  </si>
  <si>
    <t xml:space="preserve">  Dividend Withholding Tax (DWT) — Morocco standard rate</t>
  </si>
  <si>
    <t xml:space="preserve">dwt_standard</t>
  </si>
  <si>
    <t xml:space="preserve">  DWT exempt under SMIT Convention?</t>
  </si>
  <si>
    <t xml:space="preserve">dwt_smit_exempt</t>
  </si>
  <si>
    <t xml:space="preserve">  Effective DWT applied to LP dividends</t>
  </si>
  <si>
    <t xml:space="preserve">dwt_effective</t>
  </si>
  <si>
    <t xml:space="preserve">  Payroll Tax Exemption — Charte de l'Investissement?</t>
  </si>
  <si>
    <t xml:space="preserve">payroll_exempt</t>
  </si>
  <si>
    <t xml:space="preserve">  Payroll tax savings — % of staff cost</t>
  </si>
  <si>
    <t xml:space="preserve">payroll_savings_pct</t>
  </si>
  <si>
    <t xml:space="preserve">  Effective payroll savings (=C68 if C67=YES else 0)</t>
  </si>
  <si>
    <t xml:space="preserve">payroll_savings_eff</t>
  </si>
  <si>
    <t xml:space="preserve">ⓘ  SMIT (Société Marocaine d'Ingénierie Touristique) MoU signed March 2026</t>
  </si>
  <si>
    <t xml:space="preserve">ⓘ  Charte de l'Investissement (Investment Charter, Law 03-22) approval in process</t>
  </si>
  <si>
    <t xml:space="preserve">  Estimated total payroll Y4 mature (Group + Pillar staff, US$)</t>
  </si>
  <si>
    <t xml:space="preserve">payroll_total_y4</t>
  </si>
  <si>
    <t xml:space="preserve">  Cumulative Y1-Y5 payroll savings (ramp-weighted)</t>
  </si>
  <si>
    <t xml:space="preserve">cum_payroll_savings</t>
  </si>
  <si>
    <t xml:space="preserve">G.  NAMED  RANGES  REFERENCE  TABLE</t>
  </si>
  <si>
    <t xml:space="preserve">Cell Reference</t>
  </si>
  <si>
    <t xml:space="preserve">Usage in Formulas</t>
  </si>
  <si>
    <t xml:space="preserve">  inflation_rate</t>
  </si>
  <si>
    <t xml:space="preserve">  UD!$C$8</t>
  </si>
  <si>
    <t xml:space="preserve">  General CPI inflation, e.g. =Revenue*(1+inflation_rate)</t>
  </si>
  <si>
    <t xml:space="preserve">  salary_inflation</t>
  </si>
  <si>
    <t xml:space="preserve">  UD!$C$9</t>
  </si>
  <si>
    <t xml:space="preserve">  Annual salary growth, e.g. =Salary*(1+salary_inflation)^yr</t>
  </si>
  <si>
    <t xml:space="preserve">  corp_tax_rate</t>
  </si>
  <si>
    <t xml:space="preserve">  UD!$C$11</t>
  </si>
  <si>
    <t xml:space="preserve">  Morocco corporate tax 15.5%, e.g. =Tax=-EBT*corp_tax_rate</t>
  </si>
  <si>
    <t xml:space="preserve">  vat_rate</t>
  </si>
  <si>
    <t xml:space="preserve">  UD!$C$12</t>
  </si>
  <si>
    <t xml:space="preserve">  Morocco VAT 20% (do NOT use for inflation!)</t>
  </si>
  <si>
    <t xml:space="preserve">  wacc</t>
  </si>
  <si>
    <t xml:space="preserve">  UD!$C$13</t>
  </si>
  <si>
    <t xml:space="preserve">  WACC for NPV/DCF discounting</t>
  </si>
  <si>
    <t xml:space="preserve">  ramp_y1</t>
  </si>
  <si>
    <t xml:space="preserve">  UD!$C$19</t>
  </si>
  <si>
    <t xml:space="preserve">  Y1 maturity ramp factor (80%)</t>
  </si>
  <si>
    <t xml:space="preserve">  ramp_y2</t>
  </si>
  <si>
    <t xml:space="preserve">  UD!$C$20</t>
  </si>
  <si>
    <t xml:space="preserve">  Y2 maturity ramp factor (90%)</t>
  </si>
  <si>
    <t xml:space="preserve">  rev_inflation_y5plus</t>
  </si>
  <si>
    <t xml:space="preserve">  UD!$C$22</t>
  </si>
  <si>
    <t xml:space="preserve">  Revenue inflation Y5+ (3%)</t>
  </si>
  <si>
    <t xml:space="preserve">  maint_capex_pct</t>
  </si>
  <si>
    <t xml:space="preserve">  UD!$C$24</t>
  </si>
  <si>
    <t xml:space="preserve">  Maintenance capex as % of revenue (2%)</t>
  </si>
  <si>
    <t xml:space="preserve">  franchise_fee_rate</t>
  </si>
  <si>
    <t xml:space="preserve">  UD!$C$32</t>
  </si>
  <si>
    <t xml:space="preserve">  Franchise fee 3% of revenue → Pixoul UAE</t>
  </si>
  <si>
    <t xml:space="preserve">  eq_loan_rate</t>
  </si>
  <si>
    <t xml:space="preserve">  UD!$C$36</t>
  </si>
  <si>
    <t xml:space="preserve">  Equipment loan interest rate (7%)</t>
  </si>
  <si>
    <t xml:space="preserve">  wcf_rate</t>
  </si>
  <si>
    <t xml:space="preserve">  UD!$C$38</t>
  </si>
  <si>
    <t xml:space="preserve">  Working capital facility rate (8%)</t>
  </si>
  <si>
    <t xml:space="preserve">  ct_holiday_years</t>
  </si>
  <si>
    <t xml:space="preserve">  UD!$C$63</t>
  </si>
  <si>
    <t xml:space="preserve">  CT holiday years (5 under SMIT)</t>
  </si>
  <si>
    <t xml:space="preserve">  dwt_effective</t>
  </si>
  <si>
    <t xml:space="preserve">  UD!$C$66</t>
  </si>
  <si>
    <t xml:space="preserve">  Dividend withholding tax effective rate (0% under SMIT)</t>
  </si>
  <si>
    <t xml:space="preserve">  payroll_savings_eff</t>
  </si>
  <si>
    <t xml:space="preserve">  UD!$C$69</t>
  </si>
  <si>
    <t xml:space="preserve">  Payroll tax savings rate (18% under Charte)</t>
  </si>
  <si>
    <t xml:space="preserve">  master_scenario</t>
  </si>
  <si>
    <t xml:space="preserve">  MA!$C$7</t>
  </si>
  <si>
    <t xml:space="preserve">  BEAR/BASE/BULL toggle cascading to all pillars</t>
  </si>
  <si>
    <t xml:space="preserve">  r1_equity_check</t>
  </si>
  <si>
    <t xml:space="preserve">  MA!$C$13</t>
  </si>
  <si>
    <t xml:space="preserve">  Round 1 equity check $7,720,000</t>
  </si>
  <si>
    <t xml:space="preserve">  lp_stake</t>
  </si>
  <si>
    <t xml:space="preserve">  MA!$C$15</t>
  </si>
  <si>
    <t xml:space="preserve">  Limited Partner stake 45%</t>
  </si>
  <si>
    <t xml:space="preserve">  exit_value</t>
  </si>
  <si>
    <t xml:space="preserve">  MA!$C$26</t>
  </si>
  <si>
    <t xml:space="preserve">  Y3 exit value (Y3 EBITDA × multiple)</t>
  </si>
  <si>
    <t xml:space="preserve">  exit_multiple</t>
  </si>
  <si>
    <t xml:space="preserve">  MA!$C$27</t>
  </si>
  <si>
    <t xml:space="preserve">  Exit EBITDA multiple (default 16×)</t>
  </si>
  <si>
    <t xml:space="preserve">  total_project_capex</t>
  </si>
  <si>
    <t xml:space="preserve">  MA!$C$41</t>
  </si>
  <si>
    <t xml:space="preserve">  Total Project CapEx $27,280,000</t>
  </si>
  <si>
    <t xml:space="preserve">  cash_capex</t>
  </si>
  <si>
    <t xml:space="preserve">  MA!$C$42</t>
  </si>
  <si>
    <t xml:space="preserve">  Cash CapEx investor-deployed $18,090,000</t>
  </si>
  <si>
    <t xml:space="preserve">  prob_bear</t>
  </si>
  <si>
    <t xml:space="preserve">  MA!$C$49</t>
  </si>
  <si>
    <t xml:space="preserve">  Bear scenario probability 15%</t>
  </si>
  <si>
    <t xml:space="preserve">  prob_base</t>
  </si>
  <si>
    <t xml:space="preserve">  MA!$C$50</t>
  </si>
  <si>
    <t xml:space="preserve">  Base scenario probability 70%</t>
  </si>
  <si>
    <t xml:space="preserve">  prob_bull</t>
  </si>
  <si>
    <t xml:space="preserve">  MA!$C$51</t>
  </si>
  <si>
    <t xml:space="preserve">  Bull scenario probability 15%</t>
  </si>
  <si>
    <t xml:space="preserve">ⓘ  All 36 named ranges are workbook-scoped — use in any formula on any tab without sheet qualifier.</t>
  </si>
  <si>
    <t xml:space="preserve">SANDBOX — Custom Scenario Builder</t>
  </si>
  <si>
    <t xml:space="preserve">Edit YELLOW cells · See live impact on EBITDA / MOIC / IRR · Apply by setting Exec Summary H7 = "Custom"</t>
  </si>
  <si>
    <t xml:space="preserve">A.  HOW  TO  USE  THIS  SANDBOX</t>
  </si>
  <si>
    <t xml:space="preserve">1. Edit YELLOW cells below — revenue per pillar, cost behavior, exit multiple</t>
  </si>
  <si>
    <t xml:space="preserve">2. GREEN cells auto-compute the new EBITDA / Margin / MOIC / IRR</t>
  </si>
  <si>
    <t xml:space="preserve">3. Numbers shown are PREVIEW — model still uses BASE until you apply</t>
  </si>
  <si>
    <t xml:space="preserve">4. TO APPLY: Go to Exec Summary, set H7 = "Custom" (toggle dropdown)</t>
  </si>
  <si>
    <t xml:space="preserve">5. TO REVERT: Set Exec Summary H7 back to "Base"</t>
  </si>
  <si>
    <t xml:space="preserve">B.  PILLAR  REVENUE  —  Y4  MATURE  ($)</t>
  </si>
  <si>
    <t xml:space="preserve">Bear</t>
  </si>
  <si>
    <t xml:space="preserve">Base</t>
  </si>
  <si>
    <t xml:space="preserve">Bull</t>
  </si>
  <si>
    <t xml:space="preserve">CUSTOM (edit)</t>
  </si>
  <si>
    <t xml:space="preserve">Δ vs Base</t>
  </si>
  <si>
    <t xml:space="preserve">Gaming Hall</t>
  </si>
  <si>
    <t xml:space="preserve">Events Hall</t>
  </si>
  <si>
    <t xml:space="preserve">Academy</t>
  </si>
  <si>
    <t xml:space="preserve">Esports Lounge</t>
  </si>
  <si>
    <t xml:space="preserve">Museum</t>
  </si>
  <si>
    <t xml:space="preserve">Subleasing</t>
  </si>
  <si>
    <t xml:space="preserve">F&amp;B</t>
  </si>
  <si>
    <t xml:space="preserve">Sponsorships</t>
  </si>
  <si>
    <t xml:space="preserve">Borderless</t>
  </si>
  <si>
    <t xml:space="preserve">◆  TOTAL  Y4  REVENUE  (sum of column)</t>
  </si>
  <si>
    <t xml:space="preserve">✓  TO PUSH CUSTOM VALUES TO MODEL: Click cells F15:F23 above and edit. Master Revenue M7-M15 auto-syncs.</t>
  </si>
  <si>
    <t xml:space="preserve">C.  COST  BEHAVIOR  TOGGLE</t>
  </si>
  <si>
    <t xml:space="preserve">Cost behavior:</t>
  </si>
  <si>
    <t xml:space="preserve">⊙ "SCALES" = pillar costs move with revenue (constant margin). "FIXED" = costs locked to Base level. EDIT in Master Cost C4.</t>
  </si>
  <si>
    <t xml:space="preserve">   ▸ SCALES means: if you drop Gaming revenue 20%, Gaming costs also drop 20%. Margin unchanged.</t>
  </si>
  <si>
    <t xml:space="preserve">   ▸ FIXED means: if you drop Gaming revenue 20%, costs stay the same. Margin compresses. More realistic for fixed-cost businesses.</t>
  </si>
  <si>
    <t xml:space="preserve">D.  EXIT  VALUATION  MULTIPLE  (Y3  Exit  =  Y3  EBITDA  ×  Multiple)</t>
  </si>
  <si>
    <t xml:space="preserve">EBITDA Multiple at Y3 Exit:</t>
  </si>
  <si>
    <t xml:space="preserve">Reference multiples:</t>
  </si>
  <si>
    <t xml:space="preserve">   • Pure financial buyer (LBO model)</t>
  </si>
  <si>
    <t xml:space="preserve">   • MENA leisure stabilized (RISMA P/E)</t>
  </si>
  <si>
    <t xml:space="preserve">   • WC pre-event strategic premium (aggressive)</t>
  </si>
  <si>
    <t xml:space="preserve">   • Multiple implied by MA Exit / Y3 EBITDA (matches C38)</t>
  </si>
  <si>
    <t xml:space="preserve">E.  LIVE  OUTPUTS  (auto-computed  from  CUSTOM  inputs  above)</t>
  </si>
  <si>
    <t xml:space="preserve">BASE (current)</t>
  </si>
  <si>
    <t xml:space="preserve">CUSTOM (preview)</t>
  </si>
  <si>
    <t xml:space="preserve">Δ</t>
  </si>
  <si>
    <t xml:space="preserve">Y4 Total Revenue</t>
  </si>
  <si>
    <t xml:space="preserve">Y4 Pillar Direct Costs</t>
  </si>
  <si>
    <t xml:space="preserve">Y4 Pillar EBITDA (before Group OH)</t>
  </si>
  <si>
    <t xml:space="preserve">Y4 Group Overhead</t>
  </si>
  <si>
    <t xml:space="preserve">◆ Y4 PLATFORM EBITDA</t>
  </si>
  <si>
    <t xml:space="preserve">◆ Y4 PLATFORM MARGIN</t>
  </si>
  <si>
    <t xml:space="preserve">Exit &amp; Returns (using sandbox multiple)</t>
  </si>
  <si>
    <t xml:space="preserve">Y3 Platform EBITDA</t>
  </si>
  <si>
    <t xml:space="preserve">Exit Value (Y3 EBITDA × Multiple)</t>
  </si>
  <si>
    <t xml:space="preserve">LP Y1 Round 2 Mandatory Sale</t>
  </si>
  <si>
    <t xml:space="preserve">LP Y3 Exit (post-mandatory)</t>
  </si>
  <si>
    <t xml:space="preserve">LP Dividends (Y1-Y3)</t>
  </si>
  <si>
    <t xml:space="preserve">◆ LP TOTAL PROCEEDS</t>
  </si>
  <si>
    <t xml:space="preserve">◆ LP MOIC</t>
  </si>
  <si>
    <t xml:space="preserve">◆ LP IRR (3.5-yr weighted)</t>
  </si>
  <si>
    <t xml:space="preserve">F.  APPLY  /  REVERT  ACTIONS</t>
  </si>
  <si>
    <t xml:space="preserve">⊙ TO APPLY CUSTOM TO FULL MODEL:</t>
  </si>
  <si>
    <t xml:space="preserve">    Step 1: Go to "Exec Summary" tab</t>
  </si>
  <si>
    <t xml:space="preserve">    Step 2: Change cell H7 from "Base" to "Custom"</t>
  </si>
  <si>
    <t xml:space="preserve">    Step 3: Save the workbook</t>
  </si>
  <si>
    <t xml:space="preserve">    → All 190 tabs now reflect Custom scenario values</t>
  </si>
  <si>
    <t xml:space="preserve">⊙ TO REVERT:</t>
  </si>
  <si>
    <t xml:space="preserve">    Step 2: Change cell H7 back to "Base"</t>
  </si>
  <si>
    <t xml:space="preserve">    → All 190 tabs return to audited Base values</t>
  </si>
  <si>
    <t xml:space="preserve">Current scenario active in model:</t>
  </si>
  <si>
    <t xml:space="preserve">CAPITAL EFFICIENCY — Investor Cash at Risk vs Total Project Value</t>
  </si>
  <si>
    <t xml:space="preserve">A.  CAPITAL  STACK  WATERFALL  (Total Project → Cash CapEx → Equity Raise)</t>
  </si>
  <si>
    <t xml:space="preserve">Component</t>
  </si>
  <si>
    <t xml:space="preserve">% of Total Project</t>
  </si>
  <si>
    <t xml:space="preserve">Funding Type</t>
  </si>
  <si>
    <t xml:space="preserve">Status</t>
  </si>
  <si>
    <t xml:space="preserve">TOTAL PROJECT VALUE (Year 0)</t>
  </si>
  <si>
    <t xml:space="preserve">Starting point</t>
  </si>
  <si>
    <t xml:space="preserve">—</t>
  </si>
  <si>
    <t xml:space="preserve">   (-) Contributed Assets (Lessor land + construction)</t>
  </si>
  <si>
    <t xml:space="preserve">Non-cash counterparty contribution</t>
  </si>
  <si>
    <t xml:space="preserve">LOI signed </t>
  </si>
  <si>
    <t xml:space="preserve">✓ CASH CapEx (operational deployment)</t>
  </si>
  <si>
    <t xml:space="preserve">Actual cash required</t>
  </si>
  <si>
    <t xml:space="preserve">NON-DILUTIVE FUNDING (subtracted from Cash CapEx):</t>
  </si>
  <si>
    <t xml:space="preserve">   (-) Government — SMIT Direct Investment subsidy</t>
  </si>
  <si>
    <t xml:space="preserve">Government grant</t>
  </si>
  <si>
    <t xml:space="preserve">SMIT MoU signed</t>
  </si>
  <si>
    <t xml:space="preserve">   (-) Government — VAT Exemption</t>
  </si>
  <si>
    <t xml:space="preserve">Government tax waiver</t>
  </si>
  <si>
    <t xml:space="preserve">SMIT MoU</t>
  </si>
  <si>
    <t xml:space="preserve">   (-) Government — Ministry of Culture</t>
  </si>
  <si>
    <t xml:space="preserve">Cultural subsidy</t>
  </si>
  <si>
    <t xml:space="preserve">MoC LOI signed Mar 2026</t>
  </si>
  <si>
    <t xml:space="preserve">   (-) Equipment Loan (debt, not equity)</t>
  </si>
  <si>
    <t xml:space="preserve">Senior debt (7yr, 7%)</t>
  </si>
  <si>
    <t xml:space="preserve">Term sheet signed</t>
  </si>
  <si>
    <t xml:space="preserve">   (-) Supplier credit (trade)</t>
  </si>
  <si>
    <t xml:space="preserve">Working capital</t>
  </si>
  <si>
    <t xml:space="preserve">Negotiated</t>
  </si>
  <si>
    <t xml:space="preserve">   (-) Pre-launch already paid</t>
  </si>
  <si>
    <t xml:space="preserve">Founder pre-funded</t>
  </si>
  <si>
    <t xml:space="preserve">Paid</t>
  </si>
  <si>
    <t xml:space="preserve">   (-) Sponsorships pre-committed</t>
  </si>
  <si>
    <t xml:space="preserve">Pre-revenue commitments</t>
  </si>
  <si>
    <t xml:space="preserve">In discussion</t>
  </si>
  <si>
    <t xml:space="preserve">   (-) Pre-launching profits</t>
  </si>
  <si>
    <t xml:space="preserve">Reinvested</t>
  </si>
  <si>
    <t xml:space="preserve">   Total Non-Dilutive Funding</t>
  </si>
  <si>
    <t xml:space="preserve">◆ INVESTOR EQUITY RAISE (Round 1 — CASH AT RISK)</t>
  </si>
  <si>
    <t xml:space="preserve">LP Round 1 deployment</t>
  </si>
  <si>
    <t xml:space="preserve">OPEN — fundraising</t>
  </si>
  <si>
    <t xml:space="preserve">B.  CAPITAL  EFFICIENCY  RATIOS</t>
  </si>
  <si>
    <t xml:space="preserve">Interpretation</t>
  </si>
  <si>
    <t xml:space="preserve">Subsidized Project Leverage</t>
  </si>
  <si>
    <t xml:space="preserve">⊙ Each $1 of LP equity deploys $X of total project value</t>
  </si>
  <si>
    <t xml:space="preserve">Cash CapEx Coverage by Non-Equity Funding</t>
  </si>
  <si>
    <t xml:space="preserve">⊙ % of Cash CapEx funded by non-dilutive sources (gov + debt + supplier)</t>
  </si>
  <si>
    <t xml:space="preserve">LP Cash at Risk as % of Total Project</t>
  </si>
  <si>
    <t xml:space="preserve">⊙ LP exposure: only 33% of project value is investor cash</t>
  </si>
  <si>
    <t xml:space="preserve">Non-Investor Capital Contribution</t>
  </si>
  <si>
    <t xml:space="preserve">⊙ Land + Government + Debt + Supplier covers 67% of project</t>
  </si>
  <si>
    <t xml:space="preserve">C.  RETURNS  —  LP  Cash Deployed  vs  Total  Project</t>
  </si>
  <si>
    <t xml:space="preserve">On LP Cash ($7.22M)</t>
  </si>
  <si>
    <t xml:space="preserve">Y3 Exit Value (2029 IPO)</t>
  </si>
  <si>
    <t xml:space="preserve">⊙ LP gets share + dividends; Project value = total enterprise</t>
  </si>
  <si>
    <t xml:space="preserve">MOIC</t>
  </si>
  <si>
    <t xml:space="preserve">⊙ MOIC on cash deployed is the institutional metric</t>
  </si>
  <si>
    <t xml:space="preserve">IRR</t>
  </si>
  <si>
    <t xml:space="preserve">⊙ 3.5-year weighted hold</t>
  </si>
  <si>
    <t xml:space="preserve">Capital Efficiency</t>
  </si>
  <si>
    <t xml:space="preserve">⊙ Exit value per dollar deployed</t>
  </si>
  <si>
    <t xml:space="preserve">D.  INSTITUTIONAL  POSITIONING  NARRATIVE</t>
  </si>
  <si>
    <t xml:space="preserve">⊙ LP cash at risk: $7.22M (33% of total project value)</t>
  </si>
  <si>
    <t xml:space="preserve">⊙ Subsidized leverage: 3.0× total project value per dollar of equity deployed</t>
  </si>
  <si>
    <t xml:space="preserve">WHY THIS MATTERS FOR INSTITUTIONAL REVIEWERS:</t>
  </si>
  <si>
    <t xml:space="preserve">⊙ Sovereign wealth funds, family offices, and growth equity benchmark returns on EQUITY DEPLOYED, not project value.</t>
  </si>
  <si>
    <t xml:space="preserve">⊙ Compared to greenfield real-estate (typically 100% equity-financed), this deal has 3.0× leverage WITHOUT bank debt risk.</t>
  </si>
  <si>
    <t xml:space="preserve">⊙ Lessor contribution + government subsidies + equipment loan = de-risked structure rare for greenfield entertainment venues.</t>
  </si>
  <si>
    <t xml:space="preserve">COMPARISON BASELINES (institutional context):</t>
  </si>
  <si>
    <t xml:space="preserve">⊙ Greenfield FEC (Family Entertainment Center) US/EU: 100% equity, 3-5yr payback, 12-15% IRR target</t>
  </si>
  <si>
    <t xml:space="preserve">⊙ MENA leisure greenfield (RISMA hotels comp): equity-financed, 10-12% IRR target on stabilized assets</t>
  </si>
  <si>
    <t xml:space="preserve">⊙ Institutional read: capital efficiency superior to peer-comp greenfield by ~40-50%</t>
  </si>
  <si>
    <t xml:space="preserve">E.  CAPITAL  EFFICIENCY  SENSITIVITY  —  if any non-dilutive source falls through</t>
  </si>
  <si>
    <t xml:space="preserve">Scenario</t>
  </si>
  <si>
    <t xml:space="preserve">Additional Equity Required</t>
  </si>
  <si>
    <t xml:space="preserve">Total Equity Raise</t>
  </si>
  <si>
    <t xml:space="preserve">LP Stake to Maintain Returns</t>
  </si>
  <si>
    <t xml:space="preserve">New MOIC</t>
  </si>
  <si>
    <t xml:space="preserve">Govt subsidies delayed 2yr (SMIT+VAT+MoC)</t>
  </si>
  <si>
    <t xml:space="preserve">   ◆  ALL  SOURCES  HOLD  (Base case)</t>
  </si>
  <si>
    <t xml:space="preserve">DEAL ARCHITECTURE — Round 1 / Round 2 / Exit (Locked v55)</t>
  </si>
  <si>
    <t xml:space="preserve">3-stage investor return structure with BVC IPO + Strategic Anchor exit · World Cup 2030 catalyst thesis</t>
  </si>
  <si>
    <t xml:space="preserve">A.  TIMELINE  +  VALUATIONS</t>
  </si>
  <si>
    <t xml:space="preserve">Stage</t>
  </si>
  <si>
    <t xml:space="preserve">Date</t>
  </si>
  <si>
    <t xml:space="preserve">Year</t>
  </si>
  <si>
    <t xml:space="preserve">Valuation</t>
  </si>
  <si>
    <t xml:space="preserve">Event Type</t>
  </si>
  <si>
    <t xml:space="preserve">Trigger</t>
  </si>
  <si>
    <t xml:space="preserve">Round 1</t>
  </si>
  <si>
    <t xml:space="preserve">May 2026</t>
  </si>
  <si>
    <t xml:space="preserve">Y0</t>
  </si>
  <si>
    <t xml:space="preserve">Private equity raise</t>
  </si>
  <si>
    <t xml:space="preserve">Round 2</t>
  </si>
  <si>
    <t xml:space="preserve">2027</t>
  </si>
  <si>
    <t xml:space="preserve">Y1</t>
  </si>
  <si>
    <t xml:space="preserve">Pure secondary (no new $)</t>
  </si>
  <si>
    <t xml:space="preserve">Construction near complete · opening soon</t>
  </si>
  <si>
    <t xml:space="preserve">Exit</t>
  </si>
  <si>
    <t xml:space="preserve">2029</t>
  </si>
  <si>
    <t xml:space="preserve">Y3</t>
  </si>
  <si>
    <t xml:space="preserve">100% BVC IPO + Strategic Anchor</t>
  </si>
  <si>
    <t xml:space="preserve">Pre-World Cup momentum capture</t>
  </si>
  <si>
    <t xml:space="preserve">World Cup</t>
  </si>
  <si>
    <t xml:space="preserve">2030</t>
  </si>
  <si>
    <t xml:space="preserve">Y4</t>
  </si>
  <si>
    <t xml:space="preserve">N/A</t>
  </si>
  <si>
    <t xml:space="preserve">(post-exit catalyst)</t>
  </si>
  <si>
    <t xml:space="preserve">Morocco hosts FIFA WC 2030 (Spain/Portugal co-host)</t>
  </si>
  <si>
    <t xml:space="preserve">B.  CAP  TABLE  EVOLUTION  (Y0 → Y1 → Y3)</t>
  </si>
  <si>
    <t xml:space="preserve">Founders %</t>
  </si>
  <si>
    <t xml:space="preserve">LP (Round 1) %</t>
  </si>
  <si>
    <t xml:space="preserve">Public Float / Anchor %</t>
  </si>
  <si>
    <t xml:space="preserve">Notes</t>
  </si>
  <si>
    <t xml:space="preserve">After Round 1 (May 2026)</t>
  </si>
  <si>
    <t xml:space="preserve">Pre-construction. Founders dilute from 100% → 54.9%</t>
  </si>
  <si>
    <t xml:space="preserve">After Round 2 (2027) — full secondary scenario</t>
  </si>
  <si>
    <t xml:space="preserve">33% of company changes hands · Founders + LP both sell pro-rata · Buyers = private secondary</t>
  </si>
  <si>
    <t xml:space="preserve">After Round 2 (2027) — LP mandatory-only scenario</t>
  </si>
  <si>
    <t xml:space="preserve">LP only sells mandatory 50% of allocation · Founders + LP retain larger positions for Y3 exit</t>
  </si>
  <si>
    <t xml:space="preserve">After Exit (2029) — full IPO + Anchor</t>
  </si>
  <si>
    <t xml:space="preserve">BVC IPO listing · Strategic Anchor buys block at IPO price · ALL pre-IPO holders fully exit</t>
  </si>
  <si>
    <t xml:space="preserve">C.  LP  RETURNS  —  Mandatory-only Round 2 sale (RECOMMENDED · higher MOIC)</t>
  </si>
  <si>
    <t xml:space="preserve">Cash flow timeline (LP perspective)</t>
  </si>
  <si>
    <t xml:space="preserve">Y0 (May 2026)</t>
  </si>
  <si>
    <t xml:space="preserve">Equity check</t>
  </si>
  <si>
    <t xml:space="preserve">Y1 (2027) Round 2</t>
  </si>
  <si>
    <t xml:space="preserve">Mandatory sale: 50% of LP allocation</t>
  </si>
  <si>
    <t xml:space="preserve">Y1 dividends</t>
  </si>
  <si>
    <t xml:space="preserve">Pro-rata on remaining stake (opening year, partial)</t>
  </si>
  <si>
    <t xml:space="preserve">Y2 dividends</t>
  </si>
  <si>
    <t xml:space="preserve">On stake after Round 2 sale</t>
  </si>
  <si>
    <t xml:space="preserve">Y3 dividends</t>
  </si>
  <si>
    <t xml:space="preserve">On remaining stake pre-exit</t>
  </si>
  <si>
    <t xml:space="preserve">Y3 (2029) Exit</t>
  </si>
  <si>
    <t xml:space="preserve">  TOTAL PROCEEDS</t>
  </si>
  <si>
    <t xml:space="preserve">  Initial check</t>
  </si>
  <si>
    <t xml:space="preserve">  MOIC</t>
  </si>
  <si>
    <t xml:space="preserve">  Estimated IRR (3-year hold)</t>
  </si>
  <si>
    <t xml:space="preserve">⊙ 3.5yr weighted hold (Round 2 at Y1 + final at Y3) → ~24% IRR</t>
  </si>
  <si>
    <t xml:space="preserve">C2.  LP  RETURNS  —  Full Round 2 sale (mandatory + optional)</t>
  </si>
  <si>
    <t xml:space="preserve">Y0 Equity check</t>
  </si>
  <si>
    <t xml:space="preserve">Y1 (2027) Full secondary sale</t>
  </si>
  <si>
    <t xml:space="preserve">Sell 100% of allocation (14.88% of company)</t>
  </si>
  <si>
    <t xml:space="preserve">Y1-Y3 dividends (smaller stake)</t>
  </si>
  <si>
    <t xml:space="preserve">  TOTAL</t>
  </si>
  <si>
    <t xml:space="preserve">  Estimated IRR</t>
  </si>
  <si>
    <t xml:space="preserve">D.  FOUNDER  RETURNS  (Toufic + Bassem — $0 invested capital + sweat/IP)</t>
  </si>
  <si>
    <t xml:space="preserve">Y1 (2027) Round 2 secondary</t>
  </si>
  <si>
    <t xml:space="preserve">Sell 33% of founders' 54.9% = 18.13% of company at $20M</t>
  </si>
  <si>
    <t xml:space="preserve">  TOTAL FOUNDER PROCEEDS</t>
  </si>
  <si>
    <t xml:space="preserve">⊙ From $0 invested capital. Contribution: sweat equity, Pixoul UAE IP &amp; operating playbook, government LOIs (SMIT/MoC/Charte), 5+ years operator experience.</t>
  </si>
  <si>
    <t xml:space="preserve">E.  WORLD  CUP  2030  CATALYST  (why exit 2029 — pre-event multiple expansion)</t>
  </si>
  <si>
    <t xml:space="preserve">⊙ Morocco co-hosts FIFA World Cup 2030 with Spain + Portugal. 6 host cities including Casablanca.</t>
  </si>
  <si>
    <t xml:space="preserve">⊙ $23B+ Morocco infrastructure spend committed (2025-2030): airports, high-speed rail, stadiums, urban renewal.</t>
  </si>
  <si>
    <t xml:space="preserve">⊙ Tourism target: 15.9M visitors (2024) → 26M by 2030. GDP target: $130B → $260B by 2035.</t>
  </si>
  <si>
    <t xml:space="preserve">⊙ BVC bull market: SGTM IPO Dec 2025 oversubscribed 34×, Cash Plus 64×. Vicenne 2025 success.</t>
  </si>
  <si>
    <t xml:space="preserve">⊙ €2B Eurobond Mar 2025 — 3× oversubscribed (€6.75B bids). International capital actively seeking Morocco exposure.</t>
  </si>
  <si>
    <t xml:space="preserve">⊙ "What might have taken 15 to 20 years will now be accomplished in six to seven years" — Mohammed Jadri, MWN Feb 2025.</t>
  </si>
  <si>
    <t xml:space="preserve">Why exit BEFORE World Cup 2030 (Y3 / 2029):</t>
  </si>
  <si>
    <t xml:space="preserve">⊙ Multiple expansion happens on ANTICIPATION (2027-2029), not during the event itself.</t>
  </si>
  <si>
    <t xml:space="preserve">⊙ Risk-off after World Cup is real (Brazil 2014, S.Africa 2010 — multiples contracted post-event).</t>
  </si>
  <si>
    <t xml:space="preserve">⊙ 2029 captures: peak tourism marketing, AFCON 2025 dry run results, infrastructure 80%+ complete.</t>
  </si>
  <si>
    <t xml:space="preserve">⊙ Strategic acquirers most willing to pay platform premiums 12-18 months pre-event for marketing window.</t>
  </si>
  <si>
    <t xml:space="preserve">F.  BVC  IPO  MECHANICS  +  COMPARABLES</t>
  </si>
  <si>
    <t xml:space="preserve">Listing market</t>
  </si>
  <si>
    <t xml:space="preserve">Bourse de Casablanca (BVC)</t>
  </si>
  <si>
    <t xml:space="preserve">⊙ Main market OR Alternative Market depending on size</t>
  </si>
  <si>
    <t xml:space="preserve">P/E multiple (locked v55)</t>
  </si>
  <si>
    <t xml:space="preserve">⊙ Conservative haircut. RISMA (Moroccan leisure comp) trades at 18.45×. We use 15× for size/sector caution.</t>
  </si>
  <si>
    <t xml:space="preserve">Y3 (2029) Forward EBITDA basis</t>
  </si>
  <si>
    <t xml:space="preserve">⊙ Y3 Platform EBITDA from Consolidated 8Yr P&amp;L (forward basis for IPO pricing)</t>
  </si>
  <si>
    <t xml:space="preserve">Y3 implied Net Income (post-tax/interest)</t>
  </si>
  <si>
    <t xml:space="preserve">⊙ EBITDA × ~65% after tax (15% Moroccan rate) and interest expense</t>
  </si>
  <si>
    <t xml:space="preserve">IPO implied market cap (Net Income × P/E)</t>
  </si>
  <si>
    <t xml:space="preserve">Comparables (Moroccan-listed consumer services)</t>
  </si>
  <si>
    <t xml:space="preserve">  RISMA (BVC:RIS)</t>
  </si>
  <si>
    <t xml:space="preserve">Hospitality/leisure</t>
  </si>
  <si>
    <t xml:space="preserve">18.45× P/E · MAD 4.37B market cap (~$470M)</t>
  </si>
  <si>
    <t xml:space="preserve">  SGTM (BVC:SGTM)</t>
  </si>
  <si>
    <t xml:space="preserve">Construction (recent IPO Dec 2025)</t>
  </si>
  <si>
    <t xml:space="preserve">34× oversubscribed · MAD 5.04B raised (largest private IPO ever on BVC)</t>
  </si>
  <si>
    <t xml:space="preserve">  Cash Plus (BVC:CAP)</t>
  </si>
  <si>
    <t xml:space="preserve">Fintech</t>
  </si>
  <si>
    <t xml:space="preserve">64× oversubscribed · 81K+ subscribers</t>
  </si>
  <si>
    <t xml:space="preserve">Anchor Investor mechanism</t>
  </si>
  <si>
    <t xml:space="preserve">⊙ Strategic acquirer buys 20-40% of IPO float at the IPO price (no premium per locked terms).</t>
  </si>
  <si>
    <t xml:space="preserve">⊙ Anchor reduces IPO subscription risk + signals quality to retail. Standard structure in BVC IPOs.</t>
  </si>
  <si>
    <t xml:space="preserve">⊙ Plausible anchor candidates (to be approached pre-IPO 2028): Saudi PIF entertainment arm (Qiddiya/Sela/SEVEN), UAE leisure operators (Aldar/Emaar Entertainment/Miral), regional consolidators.</t>
  </si>
  <si>
    <t xml:space="preserve">G.  RISK  FACTORS  (honest)</t>
  </si>
  <si>
    <t xml:space="preserve">IPO execution risks</t>
  </si>
  <si>
    <t xml:space="preserve">⊙ BVC main market typically requires multi-year operating history. We may need to list on Alternative Market (lower multiples, less liquidity).</t>
  </si>
  <si>
    <t xml:space="preserve">⊙ AMMC approval timeline: 6-9 months from prospectus filing. Need to start prep Q1 2028.</t>
  </si>
  <si>
    <t xml:space="preserve">⊙ Casablanca Stock Exchange has 78 listed companies (small ecosystem). Free float requirements + governance standards still apply.</t>
  </si>
  <si>
    <t xml:space="preserve">Valuation risks</t>
  </si>
  <si>
    <t xml:space="preserve">⊙ If BVC multiples compress to 12× (bear), exit valuation = ~$15M → LP MOIC drops to ~1.1×.</t>
  </si>
  <si>
    <t xml:space="preserve">⊙ Strategic anchor commitment is binary — if no anchor secured, IPO may delay to Y4 (post-AFCON, pre-WC).</t>
  </si>
  <si>
    <t xml:space="preserve">Operational risks</t>
  </si>
  <si>
    <t xml:space="preserve">⊙ Y3 EBITDA ~$984K is mature year. Any execution slip pushes IPO timing to Y4-Y5.</t>
  </si>
  <si>
    <t xml:space="preserve">⊙ Bear scenario: Y3 EBITDA could be ~$500K (Driver-Shock C1) or negative (Full-Scenario C2). IPO not viable in Bear.</t>
  </si>
  <si>
    <t xml:space="preserve">⊙ World Cup 2030 itself may not deliver expected tourism numbers (see Bear Case + Compounding Bear analysis).</t>
  </si>
  <si>
    <t xml:space="preserve">Mitigations</t>
  </si>
  <si>
    <t xml:space="preserve">⊙ Y2 IPO readiness assessment: if Y2 EBITDA tracking &lt;$700K → defer IPO to Y4-Y5, find alternative exit.</t>
  </si>
  <si>
    <t xml:space="preserve">⊙ Strategic acquirer pipeline: warm 3-5 candidates by Y1-Y2 (independent of IPO success).</t>
  </si>
  <si>
    <t xml:space="preserve">⊙ Rescue capital stack ($6.3M) available if operational issues emerge — see SURVIVAL_CASH_FLOW Section J.</t>
  </si>
  <si>
    <t xml:space="preserve">EBITDA BRIDGE — Revenue → Contribution → Group OH → Platform EBITDA (Y4)</t>
  </si>
  <si>
    <t xml:space="preserve">Walks the path from Gross Revenue to Platform EBITDA · Shows where each dollar goes · Y4 mature scenario</t>
  </si>
  <si>
    <t xml:space="preserve">A.  Y4  EBITDA  BRIDGE  (Master OpEx pure Y4 mature view)</t>
  </si>
  <si>
    <t xml:space="preserve">Amount ($)</t>
  </si>
  <si>
    <t xml:space="preserve">% of Revenue</t>
  </si>
  <si>
    <t xml:space="preserve">Cumulative</t>
  </si>
  <si>
    <t xml:space="preserve">◆ GROSS REVENUE (Y4 mature)</t>
  </si>
  <si>
    <t xml:space="preserve">Sum of 9 pillar revenue streams (Master Revenue Y4)</t>
  </si>
  <si>
    <t xml:space="preserve">   (-) Pillar Direct/Variable Costs</t>
  </si>
  <si>
    <t xml:space="preserve">Pillar-level costs: instructors, content, equipment maintenance, F&amp;B COGS, etc.</t>
  </si>
  <si>
    <t xml:space="preserve">◆ CONTRIBUTION MARGIN (pillar EBITDA before Group OH)</t>
  </si>
  <si>
    <t xml:space="preserve">Pillar-level operating contribution before centralized overhead</t>
  </si>
  <si>
    <t xml:space="preserve">   Group Overhead Deductions:</t>
  </si>
  <si>
    <t xml:space="preserve">   (-) Corporate Functions (CEO, Finance, Marketing, Admin, IT)</t>
  </si>
  <si>
    <t xml:space="preserve">6 corporate FTEs ($475K total)</t>
  </si>
  <si>
    <t xml:space="preserve">   (-) Facility &amp; Physical Plant (Rent, Utilities, Security, Maintenance)</t>
  </si>
  <si>
    <t xml:space="preserve">Rent $700K + Utilities $140K + Security $30K + Maintenance $20K</t>
  </si>
  <si>
    <t xml:space="preserve">   (-) Transaction &amp; Parent Fees (Payment processing, Franchise, Management)</t>
  </si>
  <si>
    <t xml:space="preserve">Payment processing $84K + Franchise fee $190K + Mgmt fee $150K</t>
  </si>
  <si>
    <t xml:space="preserve">◆ PLATFORM EBITDA (Y4)</t>
  </si>
  <si>
    <t xml:space="preserve">EBITDA before tax, interest, depreciation</t>
  </si>
  <si>
    <t xml:space="preserve">B.  RECONCILIATION  —  TWO Y4 VIEWS</t>
  </si>
  <si>
    <t xml:space="preserve">View</t>
  </si>
  <si>
    <t xml:space="preserve">Y4 Margin</t>
  </si>
  <si>
    <t xml:space="preserve">Methodology</t>
  </si>
  <si>
    <t xml:space="preserve">View A: Master OpEx (pure Y4 mature)</t>
  </si>
  <si>
    <t xml:space="preserve">Y4 revenue at 100% scenario mature, costs = revenue × cost ratio (no ramp inflation applied)</t>
  </si>
  <si>
    <t xml:space="preserve">View B: Consolidated 8Yr P&amp;L (Y4 in time)</t>
  </si>
  <si>
    <t xml:space="preserve">Y4 with pillar-specific utilization curves + 3% inflation applied during ramp (this is what drives LP returns)</t>
  </si>
  <si>
    <t xml:space="preserve">Δ (V_A − V_B): pillar-level cost ramp effect</t>
  </si>
  <si>
    <t xml:space="preserve">Pillar 8-Year tabs apply utilization×inflation during ramp; Master OpEx is pure mature. Both are correct — different lenses.</t>
  </si>
  <si>
    <t xml:space="preserve">⊙ KEY: Consolidated 8Yr P&amp;L drives all LP returns (DEAL_ARCH, SANDBOX). EBITDA Bridge structure shows Master OpEx mature view.</t>
  </si>
  <si>
    <t xml:space="preserve">C.  Y1-Y8  EBITDA  PROGRESSION  (Constant-Currency view)</t>
  </si>
  <si>
    <t xml:space="preserve">Revenue</t>
  </si>
  <si>
    <t xml:space="preserve">Pillar Direct</t>
  </si>
  <si>
    <t xml:space="preserve">Contribution</t>
  </si>
  <si>
    <t xml:space="preserve">Group OH</t>
  </si>
  <si>
    <t xml:space="preserve">Platform EBITDA</t>
  </si>
  <si>
    <t xml:space="preserve">Y2</t>
  </si>
  <si>
    <t xml:space="preserve">Y5</t>
  </si>
  <si>
    <t xml:space="preserve">Y6</t>
  </si>
  <si>
    <t xml:space="preserve">Y7</t>
  </si>
  <si>
    <t xml:space="preserve">Y8</t>
  </si>
  <si>
    <t xml:space="preserve">D.  PER-DOLLAR  DECOMPOSITION  (Y4)</t>
  </si>
  <si>
    <t xml:space="preserve">⊙ Of every $1.00 of Y4 revenue:</t>
  </si>
  <si>
    <t xml:space="preserve">   Pillar direct costs (variable + fixed pillar costs)</t>
  </si>
  <si>
    <t xml:space="preserve">   Corporate functions (centralized headcount)</t>
  </si>
  <si>
    <t xml:space="preserve">   Facility (rent + utilities + security + maintenance)</t>
  </si>
  <si>
    <t xml:space="preserve">   Transaction &amp; franchise fees</t>
  </si>
  <si>
    <t xml:space="preserve">   ◆ Retained as Platform EBITDA</t>
  </si>
  <si>
    <t xml:space="preserve">   Verify (must equal $1.00)</t>
  </si>
  <si>
    <t xml:space="preserve">E.  ANTICIPATED  INSTITUTIONAL  REVIEWER  QUESTIONS</t>
  </si>
  <si>
    <t xml:space="preserve">Q1: "Is 30%+ Y4 margin defensible for FEC/leisure in MENA?"</t>
  </si>
  <si>
    <t xml:space="preserve">A: Pixoul Abu Dhabi operates at 32% Y4 mature (5-yr proven). Casa initially lower at 30.5% reflecting smaller market + value-tier pricing. Margin uplift driven by 67% non-dilutive capital stack reducing depreciation drag.</t>
  </si>
  <si>
    <t xml:space="preserve">Q2: "Group OH at 28% of revenue — high or low?"</t>
  </si>
  <si>
    <t xml:space="preserve">A: Aligned with single-venue benchmarks. Pixoul AD runs at 26%. Casa slightly higher due to centralized corporate functions absorbing franchise expansion cost (carried at Group not pillar level).</t>
  </si>
  <si>
    <t xml:space="preserve">Q3: "How does Pillar EBITDA scale Y1→Y4?"</t>
  </si>
  <si>
    <t xml:space="preserve">A: Revenue ramp 80%/90%/100%/100% × scenario. Direct costs scale with revenue (variable + pillar-specific fixed). Group OH ramps 80%/90%/100%/100% then 3% inflation post-Y5. See Section C.</t>
  </si>
  <si>
    <t xml:space="preserve">Q4: "What's the EBITDA exposure to inflation?"</t>
  </si>
  <si>
    <t xml:space="preserve">A: Constant-currency view used as source of truth. Salary inflation 3%/yr post-Y5 modeled in Group OH. Revenue inflation tracking conservative — NOT applied during Y1-Y4 ramp (pricing flat in scenario view).</t>
  </si>
  <si>
    <t xml:space="preserve">KPI  DASHBOARD  —  ALL  RETURN  METRICS  IN  ONE  VIEW</t>
  </si>
  <si>
    <t xml:space="preserve">Live-linked to model · IRR by year · MOIC by exit year · ROI · payback · NPV · all consolidated</t>
  </si>
  <si>
    <t xml:space="preserve">A.  LP  IRR  /  MOIC  /  ROI  BY  EXIT  YEAR</t>
  </si>
  <si>
    <t xml:space="preserve">Y3 (BVC IPO)</t>
  </si>
  <si>
    <t xml:space="preserve">Y8 (full horizon)</t>
  </si>
  <si>
    <t xml:space="preserve">Exit Value (Y_EBITDA × Exit Multiple)</t>
  </si>
  <si>
    <t xml:space="preserve">LP share at exit (post-R2 mandatory)</t>
  </si>
  <si>
    <t xml:space="preserve">Cumulative LP dividends (40% × stake × EBITDA)</t>
  </si>
  <si>
    <t xml:space="preserve">+ Round 2 mandatory secondary (Y1)</t>
  </si>
  <si>
    <t xml:space="preserve">◆ Total LP Proceeds</t>
  </si>
  <si>
    <t xml:space="preserve">Hold period (years)</t>
  </si>
  <si>
    <t xml:space="preserve">◆ LP IRR (annualized, mid-year)</t>
  </si>
  <si>
    <t xml:space="preserve">LP ROI (total return %)</t>
  </si>
  <si>
    <t xml:space="preserve">B.  ANNUAL  IRR  PROGRESSION  (year-by-year — if exit occurred at year-end)</t>
  </si>
  <si>
    <t xml:space="preserve">⊙ "If exit this year" assumes LP exits all remaining holdings at year-end at MA!C27 multiple × that year's EBITDA, plus Y1 mandatory secondary + cumulative dividends.</t>
  </si>
  <si>
    <t xml:space="preserve">Avg</t>
  </si>
  <si>
    <t xml:space="preserve">Annual LP dividend</t>
  </si>
  <si>
    <t xml:space="preserve">Cumulative LP IRR (if exit this year)</t>
  </si>
  <si>
    <t xml:space="preserve">Avg IRR Y3-Y7 (institutional window)</t>
  </si>
  <si>
    <t xml:space="preserve">⊙ Average of Y3, Y4, Y5, Y6, Y7 cumulative IRRs</t>
  </si>
  <si>
    <t xml:space="preserve">⊙ Avg IRR Y1-Y8 (all-years average)</t>
  </si>
  <si>
    <t xml:space="preserve">C.  NPV  +  PAYBACK  +  CASH-ON-CASH</t>
  </si>
  <si>
    <t xml:space="preserve">NPV at different WACC rates</t>
  </si>
  <si>
    <t xml:space="preserve">WACC</t>
  </si>
  <si>
    <t xml:space="preserve">Project NPV</t>
  </si>
  <si>
    <t xml:space="preserve">  Project NPV @ 10% WACC</t>
  </si>
  <si>
    <t xml:space="preserve">  Project NPV @ 12.5% WACC (Base)</t>
  </si>
  <si>
    <t xml:space="preserve">  Project NPV @ 15% WACC</t>
  </si>
  <si>
    <t xml:space="preserve">Project payback period (Cash CapEx ÷ avg Y2-Y7 EBITDA)</t>
  </si>
  <si>
    <t xml:space="preserve">Equity payback (R1 Equity ÷ avg Y2-Y7 EBITDA × LP stake)</t>
  </si>
  <si>
    <t xml:space="preserve">Y4 Cash-on-Cash (LP dividends ÷ R1 equity)</t>
  </si>
  <si>
    <t xml:space="preserve">D.  SCENARIO-WEIGHTED  IRR  (P10/P50/P90 — Probability Scenarios methodology, 8× Y7 EBITDA)</t>
  </si>
  <si>
    <t xml:space="preserve">Probability</t>
  </si>
  <si>
    <t xml:space="preserve">Y7 MOIC</t>
  </si>
  <si>
    <t xml:space="preserve">Y7 IRR (annualized)</t>
  </si>
  <si>
    <t xml:space="preserve">  P10 Bear</t>
  </si>
  <si>
    <t xml:space="preserve">  P50 Base</t>
  </si>
  <si>
    <t xml:space="preserve">  P90 Bull</t>
  </si>
  <si>
    <t xml:space="preserve">◆ Expected (probability-weighted)</t>
  </si>
  <si>
    <t xml:space="preserve">⊙ Section D uses Probability Scenarios methodology (Y7 EBITDA × 8× multiple). Section A uses MA!C27 multiple (16× default) — both methodologies valid, represent different exit assumptions (strategic 16× anchor vs financial 8× buyer).</t>
  </si>
  <si>
    <t xml:space="preserve">E.  HEADLINE  SUMMARY  CARD  (for IC slide)</t>
  </si>
  <si>
    <t xml:space="preserve">Round 1 Check</t>
  </si>
  <si>
    <t xml:space="preserve">Round 1 Stake</t>
  </si>
  <si>
    <t xml:space="preserve">Post-money</t>
  </si>
  <si>
    <t xml:space="preserve">Exit Multiple</t>
  </si>
  <si>
    <t xml:space="preserve">Y3 Exit Value</t>
  </si>
  <si>
    <t xml:space="preserve">Hold (years)</t>
  </si>
  <si>
    <t xml:space="preserve">LP MOIC (Y3)</t>
  </si>
  <si>
    <t xml:space="preserve">LP IRR (Y3)</t>
  </si>
  <si>
    <t xml:space="preserve">LP MOIC (Y7)</t>
  </si>
  <si>
    <t xml:space="preserve">LP IRR (Y7)</t>
  </si>
  <si>
    <t xml:space="preserve">Project NPV @ 12.5%</t>
  </si>
  <si>
    <t xml:space="preserve">Subsidized Leverage</t>
  </si>
  <si>
    <t xml:space="preserve">LP Cash at Risk</t>
  </si>
  <si>
    <t xml:space="preserve">Expected MOIC</t>
  </si>
  <si>
    <t xml:space="preserve">F.  METHODOLOGY  NOTES</t>
  </si>
  <si>
    <t xml:space="preserve">⊙ IRR formulas use mid-year cash flow convention: (Total Proceeds / Equity)^(1/(years+0.5)) − 1.</t>
  </si>
  <si>
    <t xml:space="preserve">⊙ Exit value derives from Y3/Y5/Y7/Y8 EBITDA × Exit Multiple (MASTER_ASSUMPTIONS!C27). Base 16× = RISMA MENA leisure stabilized benchmark.</t>
  </si>
  <si>
    <t xml:space="preserve">⊙ LP share at exit = (LP stake − R2 mandatory) × Exit Value. Mandatory R2 sale at Y1 = 50% × 33% × LP stake × R2 valuation = $1,485,000.</t>
  </si>
  <si>
    <t xml:space="preserve">⊙ Cumulative dividends Y2-onwards = 40% × LP stake × Platform EBITDA each year. Y1 ramp loss = $0 dividend.</t>
  </si>
  <si>
    <t xml:space="preserve">⊙ NPV uses Project FCF (post-tax, post-maint CapEx) discounted at WACC + terminal value (Gordon growth, g=2%, Y11+).</t>
  </si>
  <si>
    <t xml:space="preserve">⊙ Annual IRR (Section B) shows: if LP exited in that year, what would IRR be? Assumes Y1 mandatory R2 secondary + cumulative dividends + exit at year-end at MA!C27 multiple × that year EBITDA.</t>
  </si>
  <si>
    <t xml:space="preserve">⊙ Section D uses Probability Scenarios MOIC at Y7 with Probability Scenarios 8× EBITDA multiple convention — distinct from Section A which uses MA!C27 16× default multiple.</t>
  </si>
  <si>
    <t xml:space="preserve">s</t>
  </si>
  <si>
    <t xml:space="preserve">  INVESTOR NARRATIVE</t>
  </si>
  <si>
    <t xml:space="preserve">PIXOUL · MEDINA LAB  </t>
  </si>
  <si>
    <t xml:space="preserve">  12-section pitch · The Medina Lab investment thesis · Anchor sheet for investor reading order</t>
  </si>
  <si>
    <t xml:space="preserve">◆  1.  OPENING  STATEMENT</t>
  </si>
  <si>
    <t xml:space="preserve">"Pixoul is not a venue. It is a platform that converts traffic, talent, and content into scalable businesses."</t>
  </si>
  <si>
    <t xml:space="preserve">◆  2.  PROBLEM</t>
  </si>
  <si>
    <t xml:space="preserve">◆  Lack of structured gaming/learning ecosystems in MENA region
◆  Fragmented entertainment and education offerings
◆  No integrated monetization system bridging culture, gaming, learning, and brand</t>
  </si>
  <si>
    <t xml:space="preserve">◆  3.  SOLUTION</t>
  </si>
  <si>
    <t xml:space="preserve">Pixoul = integrated platform combining GAMING + EVENTS + ACADEMY + F&amp;B + ECOSYSTEM (Sponsorships · Subleasing · Borderless) under one roof — 6,300 sqm flagship in Casablanca.</t>
  </si>
  <si>
    <t xml:space="preserve">◆  4.  BUSINESS  MODEL  —  9  PILLARS</t>
  </si>
  <si>
    <t xml:space="preserve">◆  5.  DEMAND  ENGINE</t>
  </si>
  <si>
    <t xml:space="preserve">Traffic → Conversion → Revenue. External demand sources (CFC, Schools, Corporates, Tourists, Gamers) capture into 5 customer-facing pillars (Gaming, Events, Academy, Museum, Esports). See: MASTER_DEMAND_ENGINE tab.</t>
  </si>
  <si>
    <t xml:space="preserve">◆  6.  CROSS-PILLAR  SYNERGIES</t>
  </si>
  <si>
    <t xml:space="preserve">Cross-pillar synergies tracked across 7 flows. Largest contributors: Sponsorships → all pillars (revenue allocation), Events Hall → F&amp;B (event catering ~$92K), Gaming Hall → F&amp;B (visitor conversion ~$56K). See: MASTER_FLOW_DASHBOARD tab.</t>
  </si>
  <si>
    <t xml:space="preserve">◆  7.  MONETIZATION  LAYERS</t>
  </si>
  <si>
    <t xml:space="preserve">◆  CORE LAYER (Pillars): Gaming, Events, Academy, F&amp;B, Museum, Esports — direct customer revenue
◆  ECOSYSTEM LAYER (Asset-light): Talent Agency, Production Studio, External Education, Tech Lab — scaling beyond venue
◆  STABILITY LAYER: Subleasing + Sponsorships — fixed-cost cover + brand monetization</t>
  </si>
  <si>
    <t xml:space="preserve">◆  8.  FINANCIAL  SNAPSHOT  (Y4 mature · Base scenario) + 3-STAGE EXIT</t>
  </si>
  <si>
    <t xml:space="preserve">Platform Margin</t>
  </si>
  <si>
    <t xml:space="preserve">Pillar EBITDA</t>
  </si>
  <si>
    <t xml:space="preserve">◆  9.  DOWNSIDE  PROTECTION</t>
  </si>
  <si>
    <t xml:space="preserve">◆ POST-AUDIT CORRECTED RETURNS (May 2026):
   Y3 BVC IPO Primary Exit:  1.70× MOIC · 16.35% Internal Rate of Return (IRR) — primary deal narrative
   Y4-Y5 holds: 12.5% IRR · Y6-Y8 long holds: 9-11% IRR
◆ Conservative ramp: Year 1 (Y1) = 80% of mature Y4 revenue (see RAMP_STRUCTURE tab)
◆ Survival case modeled (single-pillar failure scenarios) — see SURVIVAL_CASH_FLOW tab
◆ Debt Defense Layer: Debt Service Coverage Ratio (DSCR) ≥ 1.25× from Year 2 onwards, with Y3 refinance lifting DSCR to 6.4× from Year 4</t>
  </si>
  <si>
    <t xml:space="preserve">◆  10.  UPSIDE</t>
  </si>
  <si>
    <t xml:space="preserve">◆ Bull scenario (institutional ±30% calibration): Y4 revenue ~$8.3M, MOIC 0.7× (cost lag drag)
◆ Bull scenario (pillar-native, aggressive): Y4 revenue ~$11.4M, MOIC 3.2× / IRR 39.8%
◆ Sponsorship pipeline upside: 5 deal categories (Title, Zone, Event, Activation, Naming Rights), currently risk-weighted at 30-65% close probabilities. Full close = +$275K-$1.3M revenue
◆ Borderless (virtual) expansion: scales beyond physical footfall constraints; current model is conservative
◆ Academy B2B corporate training pipeline: post-COVID upskilling demand in Morocco creates Y3+ catalyst
◆ Sub-tenant negotiation upside: rooftop currently modeled at 95% occupancy, $250K/yr; market comps suggest +20% achievable</t>
  </si>
  <si>
    <t xml:space="preserve">◆  11.  EXECUTION  PLAN</t>
  </si>
  <si>
    <t xml:space="preserve">Phased launch reduces Day-1 capex risk + builds revenue momentum: Phase 1 (Gaming/Events/F&amp;B Day 1) → Phase 2 (Academy/Esports Y1-Y2) → Phase 3 (Ecosystem Y2-Y4). See: ROLL_OUT_PLAN tab.</t>
  </si>
  <si>
    <t xml:space="preserve">◆  12.  CLOSING</t>
  </si>
  <si>
    <t xml:space="preserve">"Pixoul is a controllable system, not a single-location business."</t>
  </si>
  <si>
    <t xml:space="preserve">◆  12.  DEAL  ARCHITECTURE  (locked v55)</t>
  </si>
  <si>
    <t xml:space="preserve">◆ Round 1 (R1) — May 2026: $7.72M Limited Partner (LP) cash check for 45.0% equity stake. Post-money valuation $17.16M. Use of proceeds: cash CapEx for venue fit-out, equipment, pre-opening + working capital.</t>
  </si>
  <si>
    <t xml:space="preserve">◆ Round 2 (R2) — 2027: Pure SECONDARY (no new dilution). Valuation $20M. 33% of LP holding sold pro-rata (mandatory + optional split). Returns $1.485M to LP immediately, de-risking primary capital ahead of Y3 exit.</t>
  </si>
  <si>
    <t xml:space="preserve">◆ Exit — 2029 (pre-World Cup 2030): Bourse des Valeurs de Casablanca (BVC) Initial Public Offering (IPO) with strategic anchor investor. Exit valuation derived from Y3 Platform EBITDA × Multiple (16× default, editable input). Current model: $29.34M exit value.</t>
  </si>
  <si>
    <t xml:space="preserve">◆ LP RETURNS (pre-incentive):  1.699× Multiple on Invested Capital (MOIC) · 16.35% Internal Rate of Return (IRR) · 69.9% Return on Investment (ROI) · 3-year equity payback. Tax-adjusted with Morocco SMIT incentives: 1.80× MOIC / 18.21% IRR / 79.6% ROI.</t>
  </si>
  <si>
    <t xml:space="preserve">◆ Founder Returns: $14.65M total proceeds from sweat equity + intellectual property (IP) + UAE Pixoul franchisor brand contribution. Founders never put cash in; founders own 55% stake.</t>
  </si>
  <si>
    <t xml:space="preserve">⊙ See DEAL_ARCHITECTURE tab for full waterfall, cap table evolution, Bear/Base/Bull sensitivity, and full LP/founder cash flow tables.</t>
  </si>
  <si>
    <t xml:space="preserve">◆  13.  CAPITAL  EFFICIENCY  (subsidized institutional deal)</t>
  </si>
  <si>
    <t xml:space="preserve">◆ Total Project Value: $27.28M (Total CapEx including 6,300 sqm Casablanca venue at Al Qana-equivalent location, Morocco)</t>
  </si>
  <si>
    <t xml:space="preserve">◆ Cash CapEx (Operational deployment, LP-funded portion): $18.09M (EXCLUDES $9.19M contributed by Lessor as land + base construction)</t>
  </si>
  <si>
    <t xml:space="preserve">◆ Non-dilutive funding stack: ~$10.37M total — Government subsidies (SMIT 15% direct + FSI Gaming + Charte de l'Investissement), Equipment Loan $2.77M @ 7% × 7yr, Suppliers credit $1.5M, Working Capital Facility $0.59M, Pre-launch $0.4M, Sponsorships $0.3M</t>
  </si>
  <si>
    <t xml:space="preserve">◆ LP Cash at Risk: $7.72M = 28.3% of Total Project Value · LP gets 45% equity for 28.3% of capital</t>
  </si>
  <si>
    <t xml:space="preserve">◆ Subsidized Project Leverage: 3.53× (every $1 of LP equity → $3.53 of project value deployed via subsidies + lessor contribution + debt)</t>
  </si>
  <si>
    <t xml:space="preserve">⊙ Institutional positioning: a leveraged, subsidized venue investment where Limited Partner (LP) capital represents &lt;30% of project value, with the remaining 70%+ from non-dilutive sources — significantly improving risk-adjusted returns.</t>
  </si>
  <si>
    <t xml:space="preserve">◆  14.  MOROCCO  GOVERNMENT  INCENTIVE  PACKAGE  (SMIT / Charte de l'Investissement)</t>
  </si>
  <si>
    <t xml:space="preserve">◆ SMIT (Société Marocaine d'Ingénierie Touristique) Convention: Memorandum of Understanding (MoU) signed March 2026 with Director-General (DG) Imad Barrakad. Pixoul Casablanca selected from 50+ applicants for Ministry of Tourism subsidy program.</t>
  </si>
  <si>
    <t xml:space="preserve">◆ Corporate Tax (CT) Holiday: 0% corporate tax in Years 1-5 (vs Morocco standard 15.5%). Standard tax resumes Y6 onwards.</t>
  </si>
  <si>
    <t xml:space="preserve">◆ Dividend Withholding Tax (DWT) Exemption: 0% DWT on LP dividends (vs Morocco standard 15%). Direct value: $91K saved on Y2-Y3 dividends through Y3 exit.</t>
  </si>
  <si>
    <t xml:space="preserve">◆ Payroll Tax Exemption: 18% of staff cost exempted under Charte de l'Investissement (Investment Charter, Law 03-22). Cumulative Y1-Y5 savings: $1.46M (ramp-weighted).</t>
  </si>
  <si>
    <t xml:space="preserve">◆ Direct CapEx Subsidy: 15% of capex investment via SMIT (Ministry of Tourism). Four Ministry Letters of Intent (LOIs) signed March 20, 2026 (Culture, Tourism/SMIT, Education, Youth &amp; Sports).</t>
  </si>
  <si>
    <t xml:space="preserve">◆ TOTAL GOVERNMENT INCENTIVE VALUE TO LP: ~$750K. Tax-adjusted Y3 MOIC: 1.80× (vs pre-incentive 1.70×). Tax-adjusted IRR: 18.21% (vs 16.35%).</t>
  </si>
  <si>
    <t xml:space="preserve">◆  15.  RISKS  &amp;  INSTITUTIONAL  MITIGATIONS</t>
  </si>
  <si>
    <t xml:space="preserve">◆ Y1 Debt Service Coverage Ratio (DSCR) at 1.15× breaches 1.25× lender minimum. MITIGATION: Working Capital Facility (WCF) $587K drawdown reserved for Y1-Y2; Suppliers Debt 3yr 0% interest absorbs short-term cash strain; institutional refinance trigger at Y3 lifts DSCR to 6.4× by Y4 (5.5% institutional rate, 7yr term).</t>
  </si>
  <si>
    <t xml:space="preserve">◆ Y6-Y8 long-hold IRR of 9-11% materially below short-hold (Y3 16.35%) due to D&amp;A drag and modest Y6+ EBITDA growth post-CT-holiday. MITIGATION: deal structured for Y3 BVC IPO exit; long-hold scenarios shown for stress-test only, not target.</t>
  </si>
  <si>
    <t xml:space="preserve">◆ Bear scenario shows -1.00× MOIC (total loss) at pillar-native multipliers. MITIGATION: Bear case represents simultaneous failure across multiple pillars (-58% aggregate revenue) — single-pillar failures modeled in SURVIVAL_CASH_FLOW show platform remains cash-positive with 6+ pillars functioning.</t>
  </si>
  <si>
    <t xml:space="preserve">◆ Morocco macro-economic risk (USD/MAD volatility 9.95, CPI 3%, salary inflation 4%). MITIGATION: 70%+ of revenue is local-currency-denominated; pricing escalators built into contracts; CT holiday + DWT exemption preserve dollar returns even under MAD depreciation.</t>
  </si>
  <si>
    <t xml:space="preserve">◆ Sponsorship pipeline conversion risk (60% of revenue probability-weighted at 30-65% close rates). MITIGATION: Sponsorships are upside-not-base — base case includes only 1.0 Title + 3 Zone + 5 Event sponsors, all at conservative close probabilities.</t>
  </si>
  <si>
    <t xml:space="preserve">  CapEx · Investment View — Total Project (revised after $1.4M cuts)</t>
  </si>
  <si>
    <t xml:space="preserve">  Detailed line items · Funding sources · 5-yr cash flow · Investor metrics (project + equity)</t>
  </si>
  <si>
    <t xml:space="preserve">Bucket / Line Item</t>
  </si>
  <si>
    <t xml:space="preserve">Sub-line</t>
  </si>
  <si>
    <t xml:space="preserve">% of Total</t>
  </si>
  <si>
    <t xml:space="preserve">   ▼ CONTRIBUTED ASSETS (NOT investor cash CapEx — counterparty contribution)</t>
  </si>
  <si>
    <t xml:space="preserve">Land + security + construction (6,300 sqm × $500/sqm)</t>
  </si>
  <si>
    <t xml:space="preserve">Land</t>
  </si>
  <si>
    <t xml:space="preserve">Security</t>
  </si>
  <si>
    <t xml:space="preserve">Construction (6,300 sqm × $500)</t>
  </si>
  <si>
    <t xml:space="preserve">6,300 sqm @ $500/sqm</t>
  </si>
  <si>
    <t xml:space="preserve">  Lessor Subtotal</t>
  </si>
  <si>
    <t xml:space="preserve">  Fit out</t>
  </si>
  <si>
    <t xml:space="preserve">Interior buildout + booths + spare parts + furniture</t>
  </si>
  <si>
    <t xml:space="preserve">Fit out (7,000 sqm × $480)</t>
  </si>
  <si>
    <t xml:space="preserve">7,000 sqm @ $480/sqm</t>
  </si>
  <si>
    <t xml:space="preserve">Stands &amp; Exhibition booths</t>
  </si>
  <si>
    <t xml:space="preserve">Equip Spare parts</t>
  </si>
  <si>
    <t xml:space="preserve">Furnisher &amp; Design</t>
  </si>
  <si>
    <t xml:space="preserve">  Fit out Subtotal</t>
  </si>
  <si>
    <t xml:space="preserve">  Gaming Machines</t>
  </si>
  <si>
    <t xml:space="preserve">Arcade machines + Pixoul-branded games + VAT</t>
  </si>
  <si>
    <t xml:space="preserve">Arcades</t>
  </si>
  <si>
    <t xml:space="preserve">Pixoul games</t>
  </si>
  <si>
    <t xml:space="preserve">VAT 20%</t>
  </si>
  <si>
    <t xml:space="preserve">  Gaming Machines Subtotal</t>
  </si>
  <si>
    <t xml:space="preserve">  Equipment</t>
  </si>
  <si>
    <t xml:space="preserve">PCs + AV + lab + museum + kitchen + VAT</t>
  </si>
  <si>
    <t xml:space="preserve">PCs</t>
  </si>
  <si>
    <t xml:space="preserve">Event Room</t>
  </si>
  <si>
    <t xml:space="preserve">Academy Lab Equipment (6 labs)</t>
  </si>
  <si>
    <t xml:space="preserve">6 labs: Science · Media Studio · Music · Fabrication · Robotics · Simulation</t>
  </si>
  <si>
    <t xml:space="preserve">Interactive Playground</t>
  </si>
  <si>
    <t xml:space="preserve">EVA VR</t>
  </si>
  <si>
    <t xml:space="preserve">Sound</t>
  </si>
  <si>
    <t xml:space="preserve">Music Lab</t>
  </si>
  <si>
    <t xml:space="preserve">Kitchen</t>
  </si>
  <si>
    <t xml:space="preserve">  Equipment Subtotal</t>
  </si>
  <si>
    <t xml:space="preserve">  Software &amp; Licenses</t>
  </si>
  <si>
    <t xml:space="preserve">Pixoul franchise + games + apps + licensing</t>
  </si>
  <si>
    <t xml:space="preserve">Pixoul Games</t>
  </si>
  <si>
    <t xml:space="preserve">Pixoul Franchise fee</t>
  </si>
  <si>
    <t xml:space="preserve">Licenses</t>
  </si>
  <si>
    <t xml:space="preserve">Software</t>
  </si>
  <si>
    <t xml:space="preserve">App Development</t>
  </si>
  <si>
    <t xml:space="preserve">Online School Development</t>
  </si>
  <si>
    <t xml:space="preserve">Online Esports</t>
  </si>
  <si>
    <t xml:space="preserve">  Software &amp; Licenses Subtotal</t>
  </si>
  <si>
    <t xml:space="preserve">  Pre Launch Cost</t>
  </si>
  <si>
    <t xml:space="preserve">Salaries + launch marketing + shipping + customs + reserves</t>
  </si>
  <si>
    <t xml:space="preserve">Rent &amp; Salaries</t>
  </si>
  <si>
    <t xml:space="preserve">Pre Launch Cost</t>
  </si>
  <si>
    <t xml:space="preserve">Shipping</t>
  </si>
  <si>
    <t xml:space="preserve">Customs</t>
  </si>
  <si>
    <t xml:space="preserve">Pre Launching Expenses</t>
  </si>
  <si>
    <t xml:space="preserve">Strategic Reserve</t>
  </si>
  <si>
    <t xml:space="preserve">Phase 1 Pre Launch Fitout</t>
  </si>
  <si>
    <t xml:space="preserve">Phase 1 Pre Launch Expenses</t>
  </si>
  <si>
    <t xml:space="preserve">  Pre Launch Subtotal</t>
  </si>
  <si>
    <t xml:space="preserve">   ◆  TOTAL  PROJECT  VALUE  (Year 0)</t>
  </si>
  <si>
    <t xml:space="preserve">6,300 sqm flagship · Casablanca · Phase 1 (Y0)</t>
  </si>
  <si>
    <t xml:space="preserve">   ✓  CASH CapEx (investor-deployed: Fit-out + Equipment + Software + Pre-launch)</t>
  </si>
  <si>
    <t xml:space="preserve">   ⊙  CONTRIBUTED ASSETS (Lessor land + construction — counterparty value contribution)</t>
  </si>
  <si>
    <t xml:space="preserve">◆  SECTION  B  —  CAPEX  →  EQUITY  RAISE  (deduction waterfall)</t>
  </si>
  <si>
    <t xml:space="preserve">Item</t>
  </si>
  <si>
    <t xml:space="preserve">% of Pixoul-funded CapEx (excl. Lessor)</t>
  </si>
  <si>
    <t xml:space="preserve">Notes / Source</t>
  </si>
  <si>
    <t xml:space="preserve">   ◆  TOTAL  PROJECT  VALUE  (Year 0)  —  starting point for funding waterfall</t>
  </si>
  <si>
    <t xml:space="preserve">6,300 sqm flagship · Casablanca · sum of Section A line items above</t>
  </si>
  <si>
    <t xml:space="preserve">     −  Contributed Assets: Lessor land + construction</t>
  </si>
  <si>
    <t xml:space="preserve">LOI signed</t>
  </si>
  <si>
    <t xml:space="preserve">    −  Government — SMIT Direct Investment</t>
  </si>
  <si>
    <t xml:space="preserve">SMIT MOU</t>
  </si>
  <si>
    <t xml:space="preserve">Direct gov investment under tourism subsidy program</t>
  </si>
  <si>
    <t xml:space="preserve">    −  Government — VAT Exemption</t>
  </si>
  <si>
    <t xml:space="preserve">VAT exemption on imports + equipment</t>
  </si>
  <si>
    <t xml:space="preserve">    −  Government — Ministry of Culture (MoC)</t>
  </si>
  <si>
    <t xml:space="preserve">In progress</t>
  </si>
  <si>
    <t xml:space="preserve">MoC subsidy for cultural anchor (Museum)</t>
  </si>
  <si>
    <t xml:space="preserve">    −  Equipment Loan (70% × Equipment subtotal, 7% × 7yr)</t>
  </si>
  <si>
    <t xml:space="preserve">Term sheet</t>
  </si>
  <si>
    <t xml:space="preserve">70% of equipment financing · 7-yr · 7% interest</t>
  </si>
  <si>
    <t xml:space="preserve">    −  Suppliers debt (trade credit)</t>
  </si>
  <si>
    <t xml:space="preserve">Equipment &amp; gaming machine supplier credit</t>
  </si>
  <si>
    <t xml:space="preserve">     −  Prelaunch + reinvested profits (paid)</t>
  </si>
  <si>
    <t xml:space="preserve">Pre-launch expenses + reinvested profits already deployed</t>
  </si>
  <si>
    <t xml:space="preserve">    −  Sponsorships / Partnerships</t>
  </si>
  <si>
    <t xml:space="preserve">Esports federation + brand sponsors pre-launch</t>
  </si>
  <si>
    <t xml:space="preserve">     −  Working Capital Facility (5yr / 8% APR)</t>
  </si>
  <si>
    <t xml:space="preserve">Bank LOC · 5yr · 8% · added v67 to absorb part of additional equity</t>
  </si>
  <si>
    <t xml:space="preserve">  ✓  SUBTOTAL  —  Investment Secured (non-equity)</t>
  </si>
  <si>
    <t xml:space="preserve">  ◆  EQUITY  RAISE  NEEDED  (Round 1)</t>
  </si>
  <si>
    <t xml:space="preserve">Open</t>
  </si>
  <si>
    <t xml:space="preserve">Line Item</t>
  </si>
  <si>
    <t xml:space="preserve">   Platform EBITDA (ramp from $0 to live Y4 mature)</t>
  </si>
  <si>
    <t xml:space="preserve">   Cash CapEx outlay (Y0 deployment + $200K/yr maintenance)</t>
  </si>
  <si>
    <t xml:space="preserve">  Debt Service (interest 7% on Equipment Loan)</t>
  </si>
  <si>
    <t xml:space="preserve">  NET CASH FLOW</t>
  </si>
  <si>
    <t xml:space="preserve">  CUMULATIVE NET CASH FLOW</t>
  </si>
  <si>
    <t xml:space="preserve">◆  SECTION  D  —  INVESTOR  METRICS  (PROJECT VIEW vs EQUITY VIEW)</t>
  </si>
  <si>
    <t xml:space="preserve">PROJECT VIEW</t>
  </si>
  <si>
    <t xml:space="preserve">EQUITY VIEW</t>
  </si>
  <si>
    <t xml:space="preserve">  Initial Investment</t>
  </si>
  <si>
    <t xml:space="preserve">Total project = full CapEx · Equity = Round 1 raise (live-linked placeholder · update at finalization)</t>
  </si>
  <si>
    <t xml:space="preserve">  Year-4 Mature Net Cash Flow</t>
  </si>
  <si>
    <t xml:space="preserve">Same Y4 NCF (project EBITDA - CapEx maint - debt service)</t>
  </si>
  <si>
    <t xml:space="preserve">  Simple Payback (years)</t>
  </si>
  <si>
    <t xml:space="preserve">  Cumulative NCF (Y5)</t>
  </si>
  <si>
    <t xml:space="preserve">Same — both views see same cash generation</t>
  </si>
  <si>
    <t xml:space="preserve">  Cumulative NCF / Investment</t>
  </si>
  <si>
    <t xml:space="preserve">Project: 5-yr money-back ratio · Equity: 5-yr investor multiple</t>
  </si>
  <si>
    <t xml:space="preserve">  Y4 Cash-on-Cash</t>
  </si>
  <si>
    <t xml:space="preserve">Y4 NCF as % of investment</t>
  </si>
  <si>
    <t xml:space="preserve">⊙ KEY READING: PROJECT VIEW shows full CapEx denominator (E54). EQUITY VIEW shows equity raise ($7.22M).</t>
  </si>
  <si>
    <t xml:space="preserve">EXIT  &amp;  RETURNS  —  CONSTANT-CURRENCY  VIEW  (aligned with Consolidated 8Yr P&amp;L)</t>
  </si>
  <si>
    <t xml:space="preserve">Source of truth: Consolidated 8Yr P&amp;L (audit-preserved constant-currency view) · Y1-Y4 ramp 80%/90%/100%/100% · Group OH flat $1.95M · No inflation overlay · Y9-Y10 held at Y8 level</t>
  </si>
  <si>
    <t xml:space="preserve">✓ ALIGNED v61: Same methodology as Consolidated 8Yr P&amp;L. No two-view divergence. Audit cuts preserved.</t>
  </si>
  <si>
    <t xml:space="preserve">◆  VALUATION  METHOD  TOGGLE</t>
  </si>
  <si>
    <t xml:space="preserve">  Method (toggle):</t>
  </si>
  <si>
    <t xml:space="preserve">⊙ Type "EBITDA" or "Revenue" (or use dropdown)</t>
  </si>
  <si>
    <t xml:space="preserve">◆  FORECAST  INPUTS  (Revenue + EBITDA per year)</t>
  </si>
  <si>
    <t xml:space="preserve">Y9 (extrap.)</t>
  </si>
  <si>
    <t xml:space="preserve">Y10 (extrap.)</t>
  </si>
  <si>
    <t xml:space="preserve">  Revenue (per year)</t>
  </si>
  <si>
    <t xml:space="preserve">  Pillar Gross Contribution</t>
  </si>
  <si>
    <t xml:space="preserve">  (-) Group Overhead (Master Cost)</t>
  </si>
  <si>
    <t xml:space="preserve">  ◆  PLATFORM EBITDA (Pillar GC − Group OH)</t>
  </si>
  <si>
    <t xml:space="preserve">◆  EXIT  VALUATION  MATRIX  —  Y5  /  Y7  /  Y10  exit  ×  Conservative  /  Base  /  Aggressive  multiples</t>
  </si>
  <si>
    <t xml:space="preserve">  Multiples (toggle drives whether EBITDA-based or Revenue-based valuation is used below)</t>
  </si>
  <si>
    <t xml:space="preserve">CONSERVATIVE</t>
  </si>
  <si>
    <t xml:space="preserve">AGGRESSIVE</t>
  </si>
  <si>
    <t xml:space="preserve">  EBITDA multiple (×)</t>
  </si>
  <si>
    <t xml:space="preserve">  Revenue multiple (×)</t>
  </si>
  <si>
    <t xml:space="preserve">  Y5  EXIT  WINDOW  (multiplied year)</t>
  </si>
  <si>
    <t xml:space="preserve">    EBITDA at Y5</t>
  </si>
  <si>
    <t xml:space="preserve">    Revenue at Y5</t>
  </si>
  <si>
    <t xml:space="preserve">  Exit Value (toggle method)</t>
  </si>
  <si>
    <t xml:space="preserve">  Y7  EXIT  WINDOW</t>
  </si>
  <si>
    <t xml:space="preserve">    EBITDA at Y7</t>
  </si>
  <si>
    <t xml:space="preserve">    Revenue at Y7</t>
  </si>
  <si>
    <t xml:space="preserve">  Y10  EXIT  WINDOW  (extrapolated)</t>
  </si>
  <si>
    <t xml:space="preserve">    EBITDA at Y10</t>
  </si>
  <si>
    <t xml:space="preserve">    Revenue at Y10</t>
  </si>
  <si>
    <t xml:space="preserve">◆  ROUND 1  EQUITY  ASSUMPTIONS  (live-linked)</t>
  </si>
  <si>
    <t xml:space="preserve">  Round 1 Equity check ($)</t>
  </si>
  <si>
    <t xml:space="preserve">⊙ AUTO from CapEx waterfall</t>
  </si>
  <si>
    <t xml:space="preserve">  Annual dividend payout % (of platform EBITDA)</t>
  </si>
  <si>
    <t xml:space="preserve">⊙ Dividend payout (after debt service / reinvestment)</t>
  </si>
  <si>
    <t xml:space="preserve">  Dividends start year (Y2 default)</t>
  </si>
  <si>
    <t xml:space="preserve">⊙ Year dividends start (Y0 = check, Y1 = ramp loss)</t>
  </si>
  <si>
    <t xml:space="preserve">◆  INVESTOR  CASH  FLOW  WATERFALL  (Y0 to exit)</t>
  </si>
  <si>
    <t xml:space="preserve">Cash flow component</t>
  </si>
  <si>
    <t xml:space="preserve">Y9</t>
  </si>
  <si>
    <t xml:space="preserve">Y10</t>
  </si>
  <si>
    <t xml:space="preserve">  Y0 — Investor check (-)</t>
  </si>
  <si>
    <t xml:space="preserve">  Annual dividends (Y2+)</t>
  </si>
  <si>
    <t xml:space="preserve">  + Y5 exit proceeds (Base case)</t>
  </si>
  <si>
    <t xml:space="preserve">  + Y7 exit proceeds (Base case)</t>
  </si>
  <si>
    <t xml:space="preserve">  + Y10 exit proceeds (Base case)</t>
  </si>
  <si>
    <t xml:space="preserve">◆  RETURNS  SUMMARY  —  IRR  +  MOIC  per exit window (BASE multiple)</t>
  </si>
  <si>
    <t xml:space="preserve">Exit Year</t>
  </si>
  <si>
    <t xml:space="preserve">Exit Value (Total)</t>
  </si>
  <si>
    <t xml:space="preserve">Cumulative Dividends</t>
  </si>
  <si>
    <t xml:space="preserve">Total to Investor</t>
  </si>
  <si>
    <t xml:space="preserve">Equity IRR</t>
  </si>
  <si>
    <t xml:space="preserve">  Y5 Exit (Base 8x EBITDA)</t>
  </si>
  <si>
    <t xml:space="preserve">  Y7 Exit (Base 8x EBITDA)</t>
  </si>
  <si>
    <t xml:space="preserve">  Y10 Exit (Base 8x EBITDA)</t>
  </si>
  <si>
    <t xml:space="preserve">  ↓  Helper: Net cash flow per year (for IRR calc) — per scenario</t>
  </si>
  <si>
    <t xml:space="preserve">    Y5 scenario cash flow</t>
  </si>
  <si>
    <t xml:space="preserve">    Y7 scenario cash flow</t>
  </si>
  <si>
    <t xml:space="preserve">    Y10 scenario cash flow</t>
  </si>
  <si>
    <t xml:space="preserve">◆  SENSITIVITY  TABLE  —  Total Investor Returns (MOIC) by Exit Year × Multiple Scenario</t>
  </si>
  <si>
    <t xml:space="preserve">CONSERVATIVE
(6x EBITDA / 2x Rev)</t>
  </si>
  <si>
    <t xml:space="preserve">BASE
(8x EBITDA / 3x Rev)</t>
  </si>
  <si>
    <t xml:space="preserve">AGGRESSIVE
(10x EBITDA / 4x Rev)</t>
  </si>
  <si>
    <t xml:space="preserve">  Y5 Exit</t>
  </si>
  <si>
    <t xml:space="preserve">  Y7 Exit</t>
  </si>
  <si>
    <t xml:space="preserve">  Y10 Exit</t>
  </si>
  <si>
    <t xml:space="preserve">◆  NOTES  &amp;  ASSUMPTIONS</t>
  </si>
  <si>
    <t xml:space="preserve">⊙  EBITDA multiples (6/8/10x): Calibrated to PE financial buyer comps for FEC / experiential venues. Strategic acquirer multiples could be 1.5-2x higher.</t>
  </si>
  <si>
    <t xml:space="preserve">⊙  Revenue multiples (2/3/4x): Sanity check vs EBITDA-based valuation. Useful when EBITDA distorted by growth investment.</t>
  </si>
  <si>
    <t xml:space="preserve">⊙  Y9/Y10 are extrapolated (not in 8-Year tabs): Assumed +3% price inflation, utilization capped at Y8 level (110% of mature).</t>
  </si>
  <si>
    <t xml:space="preserve">⊙  Dividend payout 40%: Conservative assumption — leaves cash for debt service (Equipment Loan $2.45M @ 7% over 7 yrs) + reinvestment.</t>
  </si>
  <si>
    <t xml:space="preserve">⊙  IRR uses XIRR-equivalent (Excel IRR with annual periods): Y0 = check outflow, Y2+ = dividends, exit year = exit proceeds × 49%.</t>
  </si>
  <si>
    <t xml:space="preserve">⊙  TOGGLE (cell C6): Switch between EBITDA-based and Revenue-based valuation. Exit Value rows (R24, R29, R34) live-recalculate.</t>
  </si>
  <si>
    <t xml:space="preserve">⊙  Equity %: Currently 49% (Round 1). If diluted in future rounds, update C38 to reflect post-dilution share.</t>
  </si>
  <si>
    <t xml:space="preserve">⊙  Exit value × 49%: Assumes investor share is sold at same valuation as enterprise. Doesn't model preferred equity / liquidation preferences.</t>
  </si>
  <si>
    <t xml:space="preserve">⊙  Tax: Pre-tax returns. Morocco capital gains (15-20%) and dividend withholding (15%) would reduce IRR by ~3-5pp.</t>
  </si>
  <si>
    <t xml:space="preserve">⊙  Live-linked: All forecast inputs pull from pillar 8-Year tabs. Equity check pulls from CapEx waterfall (D70). Group OH from Master Cost.</t>
  </si>
  <si>
    <t xml:space="preserve">RECONCILIATION — Single Constant-Currency View (Exit &amp; Returns aligned v61)</t>
  </si>
  <si>
    <t xml:space="preserve">ALIGNED v61: Exit &amp; Returns now uses identical methodology as Consolidated 8Yr P&amp;L · No two-view divergence remains · Original divergence + audit trail preserved below for DD reviewers</t>
  </si>
  <si>
    <t xml:space="preserve">✓ v61 ALIGNMENT: All Y1-Y8 Platform EBITDA values now identical between Consolidated 8Yr P&amp;L and Exit &amp; Returns. Source of truth = Constant-Currency view. Audit cuts preserved.</t>
  </si>
  <si>
    <t xml:space="preserve">Constant-Currency View (Consolidated 8Yr P&amp;L R35)</t>
  </si>
  <si>
    <t xml:space="preserve">Time-Series View (Exit &amp; Returns R13)</t>
  </si>
  <si>
    <t xml:space="preserve">Difference ($)</t>
  </si>
  <si>
    <t xml:space="preserve">Difference (%)</t>
  </si>
  <si>
    <t xml:space="preserve">Y1 (2027)</t>
  </si>
  <si>
    <t xml:space="preserve">Y2 (2028)</t>
  </si>
  <si>
    <t xml:space="preserve">Y3 (2029)</t>
  </si>
  <si>
    <t xml:space="preserve">Y4 (2030)</t>
  </si>
  <si>
    <t xml:space="preserve">Y5 (2031)</t>
  </si>
  <si>
    <t xml:space="preserve">Y6 (2032)</t>
  </si>
  <si>
    <t xml:space="preserve">Y7 (2033)</t>
  </si>
  <si>
    <t xml:space="preserve">B.  WHY  THE  TWO  VIEWS  DIVERGE  (three drivers)</t>
  </si>
  <si>
    <t xml:space="preserve">Constant-Currency View</t>
  </si>
  <si>
    <t xml:space="preserve">Time-Series View</t>
  </si>
  <si>
    <t xml:space="preserve">Impact</t>
  </si>
  <si>
    <t xml:space="preserve">1. Revenue inflation</t>
  </si>
  <si>
    <t xml:space="preserve">No inflation applied during ramp</t>
  </si>
  <si>
    <t xml:space="preserve">3%/yr price inflation (compounds)</t>
  </si>
  <si>
    <t xml:space="preserve">Time-Series higher by Y3 ≈ 6%, Y4 ≈ 9%, Y5 ≈ 13%</t>
  </si>
  <si>
    <t xml:space="preserve">2. Utilization curve</t>
  </si>
  <si>
    <t xml:space="preserve">Y1=80%, Y2=90%, Y3=100%, Y4=100% (plateaus)</t>
  </si>
  <si>
    <t xml:space="preserve">Y1=70%, Y2=90%, Y3=95%, Y4=100%, Y5=105% (post-mature growth)</t>
  </si>
  <si>
    <t xml:space="preserve">Mixed: Time-Series lower Y1, higher Y5+</t>
  </si>
  <si>
    <t xml:space="preserve">3. Group Overhead</t>
  </si>
  <si>
    <t xml:space="preserve">Flat at $1.95M every year</t>
  </si>
  <si>
    <t xml:space="preserve">Escalates 3%/yr (real cost inflation)</t>
  </si>
  <si>
    <t xml:space="preserve">Time-Series subtracts MORE OH each year going forward</t>
  </si>
  <si>
    <t xml:space="preserve">C.  WHICH  VIEW  TO  USE  WHEN</t>
  </si>
  <si>
    <t xml:space="preserve">Use Constant-Currency View (Consolidated 8Yr P&amp;L) for:</t>
  </si>
  <si>
    <t xml:space="preserve">⊙ Bear / Base / Bull scenario comparison (isolates operational drivers, removes inflation noise)</t>
  </si>
  <si>
    <t xml:space="preserve">⊙ Cost ratio analysis (pillar margins, Group OH ratio)</t>
  </si>
  <si>
    <t xml:space="preserve">⊙ Operational benchmarking against peer FECs / leisure venues</t>
  </si>
  <si>
    <t xml:space="preserve">⊙ INDEX, Exec Summary, MASTER_ASSUMPTIONS headline numbers</t>
  </si>
  <si>
    <t xml:space="preserve">⊙ DEAL_ARCHITECTURE Round 1/2 EBITDA references</t>
  </si>
  <si>
    <t xml:space="preserve">Use Time-Series Investment View (Exit &amp; Returns) for:</t>
  </si>
  <si>
    <t xml:space="preserve">⊙ IRR / NPV / DCF calculations (require nominal cash flows)</t>
  </si>
  <si>
    <t xml:space="preserve">⊙ Exit valuation math (P/E × forward Net Income at exit year, in nominal terms)</t>
  </si>
  <si>
    <t xml:space="preserve">⊙ LP returns waterfall (Round 1 → Round 2 → Exit proceeds in nominal $)</t>
  </si>
  <si>
    <t xml:space="preserve">⊙ Capital adequacy analysis (will the rescue stack cover real cash needs?)</t>
  </si>
  <si>
    <t xml:space="preserve">D.  KEY  RECONCILIATION  FACTS  (for institutional review)</t>
  </si>
  <si>
    <t xml:space="preserve">⊙ Both views start from the SAME Master Revenue, Master Cost, and pillar driver inputs.</t>
  </si>
  <si>
    <t xml:space="preserve">⊙ Both views are mathematically internally consistent — neither contains errors.</t>
  </si>
  <si>
    <t xml:space="preserve">⊙ The Y4 mature revenue is the same in both: $5,594K (Master Revenue I17 = Pillar 8-Year row 11 col F).</t>
  </si>
  <si>
    <t xml:space="preserve">⊙ The Y4 Platform EBITDA differs only because:</t>
  </si>
  <si>
    <t xml:space="preserve">   (a) Time-Series compounds 3%/yr inflation through Y4 ($5,594K × 1.09 = $6,098K revenue)</t>
  </si>
  <si>
    <t xml:space="preserve">   (b) Time-Series subtracts inflated Group OH ($1,947K × 1.0 = $1,947K in Y4) — same</t>
  </si>
  <si>
    <t xml:space="preserve">   (c) Net: Time-Series Y4 EBITDA $1,320K vs Constant-Currency $921K (delta $399K explained by ~9% inflation on revenue base)</t>
  </si>
  <si>
    <t xml:space="preserve">⊙ Standard institutional practice: investment models present BOTH views.</t>
  </si>
  <si>
    <t xml:space="preserve">⊙ This reconciliation is intentional, documented, and matches how Mubadala/PIF/KKR investment teams model deals.</t>
  </si>
  <si>
    <t xml:space="preserve">E.  AUDIT  TRAIL  (cell-level reconciliation for DD reviewers)</t>
  </si>
  <si>
    <t xml:space="preserve">Reviewer question</t>
  </si>
  <si>
    <t xml:space="preserve">Answer</t>
  </si>
  <si>
    <t xml:space="preserve">"Which Y3 EBITDA is real?"</t>
  </si>
  <si>
    <t xml:space="preserve">Both. Constant-currency $984K shows operational scenario performance. Time-Series $1,259K shows nominal cash flow with realized inflation. IRR and exit math use the latter.</t>
  </si>
  <si>
    <t xml:space="preserve">"Are you double-counting growth?"</t>
  </si>
  <si>
    <t xml:space="preserve">No. The 3% inflation in Time-Series view is pure price escalation, not volume growth. Utilization curves (70%-100%-105%) handle volume separately.</t>
  </si>
  <si>
    <t xml:space="preserve">"Why not pick one?"</t>
  </si>
  <si>
    <t xml:space="preserve">Each view answers a different question. Operating analysis needs constant currency. Investment returns require nominal cash. Standard PE practice keeps both.</t>
  </si>
  <si>
    <t xml:space="preserve">"Is 3%/yr inflation defensible?"</t>
  </si>
  <si>
    <t xml:space="preserve">Yes. Below Morocco long-term CPI average (~3.5-4%). Consumer entertainment pricing typically tracks CPI. Conservative for a growth scenario.</t>
  </si>
  <si>
    <t xml:space="preserve">"Where do the IRR / MOIC figures originate?"</t>
  </si>
  <si>
    <t xml:space="preserve">Exit &amp; Returns tab (Time-Series view). Cross-referenced in DEAL_ARCHITECTURE Section C. Audit trail: Pillar 8-Year tabs → Exit &amp; Returns rows 10-13 → exit valuation matrix R15-R34 → LP returns waterfall.</t>
  </si>
  <si>
    <t xml:space="preserve">EXTREME  IMPAIRMENT  CASE  ASSUMPTIONS  —  Tail risk stress test (well below Bear)</t>
  </si>
  <si>
    <t xml:space="preserve">Multipliers applied to BASE model · NOT a likely downside · NOT a forecast · This is a "what if everything goes wrong" stress test for capital adequacy sizing only. Bear Case Section C2 is the institutional reviewer default for downside.</t>
  </si>
  <si>
    <t xml:space="preserve">◆  A.  REVENUE  MULTIPLIERS  (applied to Base Y1-Y10 revenue per pillar)</t>
  </si>
  <si>
    <t xml:space="preserve">Multiplier</t>
  </si>
  <si>
    <t xml:space="preserve">Δ from base</t>
  </si>
  <si>
    <t xml:space="preserve">Pillars affected</t>
  </si>
  <si>
    <t xml:space="preserve">Rationale</t>
  </si>
  <si>
    <t xml:space="preserve">  Demand multiplier</t>
  </si>
  <si>
    <t xml:space="preserve">Gaming, Esports, Museum, F&amp;B (volume)</t>
  </si>
  <si>
    <t xml:space="preserve">Footfall 35% lower than base — venue fails to attract expected traffic</t>
  </si>
  <si>
    <t xml:space="preserve">  Conversion multiplier</t>
  </si>
  <si>
    <t xml:space="preserve">Gaming, F&amp;B (cross-pillar capture)</t>
  </si>
  <si>
    <t xml:space="preserve">Visitors don't spend as much per visit — discretionary squeeze</t>
  </si>
  <si>
    <t xml:space="preserve">  Pricing multiplier</t>
  </si>
  <si>
    <t xml:space="preserve">ALL pillars (price haircut)</t>
  </si>
  <si>
    <t xml:space="preserve">Forced price reductions to compete / fill capacity</t>
  </si>
  <si>
    <t xml:space="preserve">  Events multiplier</t>
  </si>
  <si>
    <t xml:space="preserve">Events Hall only</t>
  </si>
  <si>
    <t xml:space="preserve">Corporate events don't materialize — Casa B2B market slow</t>
  </si>
  <si>
    <t xml:space="preserve">  Academy multiplier</t>
  </si>
  <si>
    <t xml:space="preserve">Academy only</t>
  </si>
  <si>
    <t xml:space="preserve">Enrollment plateau at 70% of base case</t>
  </si>
  <si>
    <t xml:space="preserve">  Sponsorship multiplier</t>
  </si>
  <si>
    <t xml:space="preserve">Sponsorships only</t>
  </si>
  <si>
    <t xml:space="preserve">Half of expected sponsors don't close — title sponsor fails</t>
  </si>
  <si>
    <t xml:space="preserve">  F&amp;B conversion multiplier</t>
  </si>
  <si>
    <t xml:space="preserve">F&amp;B only (additional layer)</t>
  </si>
  <si>
    <t xml:space="preserve">Specific F&amp;B attach rate stress beyond general demand</t>
  </si>
  <si>
    <t xml:space="preserve">◆  B.  COST  MULTIPLIERS</t>
  </si>
  <si>
    <t xml:space="preserve">Applies to</t>
  </si>
  <si>
    <t xml:space="preserve">  Fixed cost increase</t>
  </si>
  <si>
    <t xml:space="preserve">All pillar fixed costs + Group Overhead</t>
  </si>
  <si>
    <t xml:space="preserve">Higher staff retention costs / utilities cost overruns / inflation pressures in stress scenario</t>
  </si>
  <si>
    <t xml:space="preserve">  Variable cost</t>
  </si>
  <si>
    <t xml:space="preserve">— scales with revenue —</t>
  </si>
  <si>
    <t xml:space="preserve">Variable cost rate per dollar of revenue is unchanged</t>
  </si>
  <si>
    <t xml:space="preserve">Variable costs naturally scale down with reduced revenue (no override needed)</t>
  </si>
  <si>
    <t xml:space="preserve">◆  C.  TIMING  /  RAMP  ASSUMPTIONS</t>
  </si>
  <si>
    <t xml:space="preserve">  Ramp delay (months)</t>
  </si>
  <si>
    <t xml:space="preserve">6-9 months</t>
  </si>
  <si>
    <t xml:space="preserve">Y1 utilization (haircut)</t>
  </si>
  <si>
    <t xml:space="preserve">Permits, fitout overruns, soft launch failures push effective opening to mid-Y1</t>
  </si>
  <si>
    <t xml:space="preserve">  Y1 effective fraction (auto)</t>
  </si>
  <si>
    <t xml:space="preserve">AUTO</t>
  </si>
  <si>
    <t xml:space="preserve">Months operating ÷ 12</t>
  </si>
  <si>
    <t xml:space="preserve">Y1 base revenue × Y1 fraction × all other multipliers</t>
  </si>
  <si>
    <t xml:space="preserve">◆  D.  COMBINED  REVENUE  MULTIPLIER  PER  PILLAR  (auto)</t>
  </si>
  <si>
    <t xml:space="preserve">Y2-Y10 Mult.</t>
  </si>
  <si>
    <t xml:space="preserve">Y1 Mult.</t>
  </si>
  <si>
    <t xml:space="preserve">Formula</t>
  </si>
  <si>
    <t xml:space="preserve">Logic</t>
  </si>
  <si>
    <t xml:space="preserve">C7*C8*C9</t>
  </si>
  <si>
    <t xml:space="preserve">Demand × Conversion × Pricing</t>
  </si>
  <si>
    <t xml:space="preserve">C10*C9</t>
  </si>
  <si>
    <t xml:space="preserve">Events × Pricing (no demand layer — events are pre-booked)</t>
  </si>
  <si>
    <t xml:space="preserve">C11*C9</t>
  </si>
  <si>
    <t xml:space="preserve">Academy × Pricing</t>
  </si>
  <si>
    <t xml:space="preserve">C7*C9</t>
  </si>
  <si>
    <t xml:space="preserve">Demand × Pricing</t>
  </si>
  <si>
    <t xml:space="preserve">Demand × Pricing (foot traffic affects subleasing rents)</t>
  </si>
  <si>
    <t xml:space="preserve">C7*C8*C9*C13</t>
  </si>
  <si>
    <t xml:space="preserve">Demand × Conv × Pricing × F&amp;B-specific conv (compounded stress)</t>
  </si>
  <si>
    <t xml:space="preserve">C12</t>
  </si>
  <si>
    <t xml:space="preserve">Sponsorship multiplier only (deals don't close, no demand/pricing layer)</t>
  </si>
  <si>
    <t xml:space="preserve">◆  NOTES</t>
  </si>
  <si>
    <t xml:space="preserve">⊙ EDIT only the YELLOW cells (Section A multipliers, Section B fixed cost, Section C ramp delay) — everything else auto-calculates.</t>
  </si>
  <si>
    <t xml:space="preserve">⊙ Survival is WORSE than Bear Case: Bear assumed -16% revenue, Survival models -45% to -60% across pillars.</t>
  </si>
  <si>
    <t xml:space="preserve">⊙ Ramp delay 7.5 months → Y1 effective opening fraction ~37.5% (4.5 months operating)</t>
  </si>
  <si>
    <t xml:space="preserve">⊙ Variable costs scale with revenue automatically — no override needed (variable cost rate per $ of revenue is unchanged).</t>
  </si>
  <si>
    <t xml:space="preserve">⊙ Fixed costs increase 15% AND remain in place even when revenue collapses (this is what makes survival a stress test).</t>
  </si>
  <si>
    <t xml:space="preserve">⊙ Sponsorship multiplier 0.50 = half of expected sponsors don't close. Title sponsor is part of this stress.</t>
  </si>
  <si>
    <t xml:space="preserve">⊙ F&amp;B has TWO compounded stresses: general demand × conversion × pricing AND F&amp;B-specific conversion (0.75) on top.</t>
  </si>
  <si>
    <t xml:space="preserve">⊙ Output flows to SURVIVAL_CASH_FLOW tab for Y1-Y10 P&amp;L, cumulative cash, runway, breakeven analysis.</t>
  </si>
  <si>
    <t xml:space="preserve">  Group OpEx retention multiplier (NEW)</t>
  </si>
  <si>
    <t xml:space="preserve">1.0 = no cut; 0.85 = 15% staff cut; 0.7 = 30% cut. Used by SURVIVAL_CASH_FLOW R32.</t>
  </si>
  <si>
    <t xml:space="preserve">REALISTIC  BEAR  CASE  CASH  FLOW  —  Y1-Y10 Institutional Downside Stress</t>
  </si>
  <si>
    <t xml:space="preserve">Per-driver downside × SMIT incentives × R2 secondary × Group OH flex · Bear case stays VIABLE</t>
  </si>
  <si>
    <t xml:space="preserve">⊙ FRAMING: Realistic Bear scenario with institutional credibility. Revenue -19% vs Base. EBITDA stays POSITIVE from Y2 onwards. SMIT Corporate Tax Holiday active (0% tax Y1-Y5). R2 mandatory secondary returns $1.485M to LP at Y2. Group Overhead flexed -10% to reflect management discipline in downside. LP Y3 exit @ 16× delivers 1.44× MOIC — capital preservation even in Bear.</t>
  </si>
  <si>
    <t xml:space="preserve">◆  A.  SURVIVAL  REVENUE  PER  PILLAR  (Base × Multipliers, Y1 with ramp delay)</t>
  </si>
  <si>
    <t xml:space="preserve">  ◆  TOTAL  SURVIVAL  REVENUE</t>
  </si>
  <si>
    <t xml:space="preserve">◆  B.  SURVIVAL  DIRECT  COSTS  PER  PILLAR  (Fixed × 1.15 + Variable rate × Survival Revenue)</t>
  </si>
  <si>
    <t xml:space="preserve">  ◆  TOTAL  SURVIVAL  DIRECT  COSTS</t>
  </si>
  <si>
    <t xml:space="preserve">◆  C.  GROSS  CONTRIBUTION  &amp;  PLATFORM  EBITDA</t>
  </si>
  <si>
    <t xml:space="preserve">  (-) Group Overhead × OH retention × cost inflation (incl. Franchise + Mgmt fees)</t>
  </si>
  <si>
    <t xml:space="preserve">  ◆  SURVIVAL  PLATFORM  EBITDA</t>
  </si>
  <si>
    <t xml:space="preserve">◆  D.  CASH  FLOW  &amp;  CUMULATIVE  CASH  POSITION</t>
  </si>
  <si>
    <t xml:space="preserve">  Initial Equity Outflow (Y0) + R2 Secondary Inflow (Y2, $1.485M)</t>
  </si>
  <si>
    <t xml:space="preserve">  (-) Equipment Loan Debt Service ($2.77M @ 7%, 7yr)</t>
  </si>
  <si>
    <t xml:space="preserve">  (-) Suppliers Debt Repayment ($1.5M / 3yr)</t>
  </si>
  <si>
    <t xml:space="preserve">  (-) Franchise Fee (3% of Survival revenue)</t>
  </si>
  <si>
    <t xml:space="preserve">  (-) Management Fee ($150K × Fixed Cost mult)</t>
  </si>
  <si>
    <t xml:space="preserve">  (-) Tax (15.5% of positive EBITDA)</t>
  </si>
  <si>
    <t xml:space="preserve">  (-) Maintenance Capex (2% of revenue)</t>
  </si>
  <si>
    <t xml:space="preserve">  ◆  NET  CASH  FLOW</t>
  </si>
  <si>
    <t xml:space="preserve">  ◆  CUMULATIVE  CASH</t>
  </si>
  <si>
    <t xml:space="preserve">◆  E.  SURVIVAL  CASE  SUMMARY  METRICS</t>
  </si>
  <si>
    <t xml:space="preserve">  Max cash burn (deepest cumulative trough)</t>
  </si>
  <si>
    <t xml:space="preserve">  Year of max cash burn</t>
  </si>
  <si>
    <t xml:space="preserve">  Additional capital needed beyond Y0 equity</t>
  </si>
  <si>
    <t xml:space="preserve">  Break-even point (first year cum cash ≥ 0)</t>
  </si>
  <si>
    <t xml:space="preserve">  Cumulative cash at Y10 (terminal position)</t>
  </si>
  <si>
    <t xml:space="preserve">  Y4 Survival Revenue vs Y4 Base (ratio)</t>
  </si>
  <si>
    <t xml:space="preserve">  First year cash flow positive</t>
  </si>
  <si>
    <t xml:space="preserve">◆  F.  EXIT  RECOVERY  ANALYSIS  ·  LP MOIC at Y3/Y5/Y7 exit (Bear EBITDA × multiple × 45% LP stake + R2 secondary)</t>
  </si>
  <si>
    <t xml:space="preserve">Exit / Multiple</t>
  </si>
  <si>
    <t xml:space="preserve">Bear EBITDA</t>
  </si>
  <si>
    <t xml:space="preserve">Exit Value (100%)</t>
  </si>
  <si>
    <t xml:space="preserve">LP Share (45%)</t>
  </si>
  <si>
    <t xml:space="preserve">Cum Op Cash + Rescue</t>
  </si>
  <si>
    <t xml:space="preserve">LP Total Recovery</t>
  </si>
  <si>
    <t xml:space="preserve">LP MOIC</t>
  </si>
  <si>
    <t xml:space="preserve">Y3 / 12× EBITDA</t>
  </si>
  <si>
    <t xml:space="preserve">Y3 / 14× EBITDA</t>
  </si>
  <si>
    <t xml:space="preserve">  Y3 / 16× EBITDA  ★ HEADLINE</t>
  </si>
  <si>
    <t xml:space="preserve">Y5 / 12× EBITDA</t>
  </si>
  <si>
    <t xml:space="preserve">Y5 / 14× EBITDA</t>
  </si>
  <si>
    <t xml:space="preserve">Y5 / 16× EBITDA</t>
  </si>
  <si>
    <t xml:space="preserve">Y7 / 12× EBITDA</t>
  </si>
  <si>
    <t xml:space="preserve">Y7 / 14× EBITDA</t>
  </si>
  <si>
    <t xml:space="preserve">Y7 / 16× EBITDA</t>
  </si>
  <si>
    <t xml:space="preserve">  ◆ HEADLINE: Y3 / 16× exit in Bear delivers LP MOIC shown above</t>
  </si>
  <si>
    <t xml:space="preserve">◆  G.  MITIGATED  SURVIVAL  —  with management remedies (unilateral, Pixoul-controlled only)</t>
  </si>
  <si>
    <t xml:space="preserve">Remedies applied: Marketing 50% cut · Admin/IT/Legal 30% cut · Cut Incubator entirely · ~$216K/yr cost savings (Phase 2 freeze NOT applied — would hurt cash by $13K/yr)</t>
  </si>
  <si>
    <t xml:space="preserve">  Total Survival Revenue (from R16)</t>
  </si>
  <si>
    <t xml:space="preserve">  (-) Incubator revenue lost (cut entirely)</t>
  </si>
  <si>
    <t xml:space="preserve">  ◆ MITIGATED Survival Revenue</t>
  </si>
  <si>
    <t xml:space="preserve">  Total Survival Direct Costs (from R28)</t>
  </si>
  <si>
    <t xml:space="preserve">  (+) Incubator cost saved (cut entirely · 1.15x infl applied)</t>
  </si>
  <si>
    <t xml:space="preserve">  ◆ MITIGATED Direct Costs</t>
  </si>
  <si>
    <t xml:space="preserve">  Mitigated Pillar Gross Contribution</t>
  </si>
  <si>
    <t xml:space="preserve">  Mitigated Group Overhead (Marketing -50%, Admin -30%)</t>
  </si>
  <si>
    <t xml:space="preserve">  ◆ MITIGATED  SURVIVAL  PLATFORM  EBITDA</t>
  </si>
  <si>
    <t xml:space="preserve">  Initial Equity Outflow (Y0)</t>
  </si>
  <si>
    <t xml:space="preserve">  (-) Debt Service (link R37)</t>
  </si>
  <si>
    <t xml:space="preserve">  (-) Suppliers Debt (link R38)</t>
  </si>
  <si>
    <t xml:space="preserve">  (-) Franchise Fee (3% of MITIGATED revenue)</t>
  </si>
  <si>
    <t xml:space="preserve">  (-) Management Fee (link R40)</t>
  </si>
  <si>
    <t xml:space="preserve">  (-) Tax (15.5% of positive MITIGATED EBITDA)</t>
  </si>
  <si>
    <t xml:space="preserve">  (-) Maintenance Capex (2% of MITIGATED revenue)</t>
  </si>
  <si>
    <t xml:space="preserve">  ◆ MITIGATED  NET  CASH  FLOW</t>
  </si>
  <si>
    <t xml:space="preserve">  ◆ MITIGATED  CUMULATIVE  CASH</t>
  </si>
  <si>
    <t xml:space="preserve">◆  H.  MITIGATED  SURVIVAL  SUMMARY</t>
  </si>
  <si>
    <t xml:space="preserve">  Max cash burn (mitigated)</t>
  </si>
  <si>
    <t xml:space="preserve">  Year of max cash burn (mitigated)</t>
  </si>
  <si>
    <t xml:space="preserve">  Additional capital needed beyond Y0 equity (mitigated)</t>
  </si>
  <si>
    <t xml:space="preserve">  Improvement vs raw survival (cash burn reduced by)</t>
  </si>
  <si>
    <t xml:space="preserve">◆  I.  BEAR  CASE  NARRATIVE  &amp;  INSTITUTIONAL  VIABILITY</t>
  </si>
  <si>
    <t xml:space="preserve">⊙ This Bear case represents a realistic downside: demand soft -15%, conversion -8%, pricing -8%, Events -15%, Academy -12%, Sponsorships -25%, F&amp;B -12%. Each driver within institutional ±25-35% norm. Model with SMIT CT holiday, R2 secondary, and 10% Group OH flex remains viable: EBITDA positive from Y2, capital recovery at Y3 exit delivers 1.44× LP MOIC. WITHOUT rescue stack, model needs $1.85M bridge — fully covered by available rescue capital ($6.3M stack documented Section J).</t>
  </si>
  <si>
    <t xml:space="preserve">⚠ NOT MODELED but management would do in actual Bear: pricing recovery within 6mo, B2B corporate training pivot, esports tournament hosting upsell, sponsorship pipeline re-acceleration. Further upside if executed.</t>
  </si>
  <si>
    <t xml:space="preserve">◆  J.  RESCUE  CAPITAL  STACK  (mitigations available when survival case triggers)</t>
  </si>
  <si>
    <t xml:space="preserve">Real-world Moroccan/MENA capital sources management can activate · Scheduled draws Y1-Y3 · Layered on top of Section G mitigated case</t>
  </si>
  <si>
    <t xml:space="preserve">  1. Working capital line / bridge facility</t>
  </si>
  <si>
    <t xml:space="preserve">Bridge facility against equipment + receivables (~9% rate, interest in OpEx)</t>
  </si>
  <si>
    <t xml:space="preserve">  2. Bank line of credit (Casablanca-based, secured)</t>
  </si>
  <si>
    <t xml:space="preserve">Local Moroccan bank, secured AR + equipment, 9% rate</t>
  </si>
  <si>
    <t xml:space="preserve">  3. SMIT additional capex disbursement (15% of capex)</t>
  </si>
  <si>
    <t xml:space="preserve">Already-agreed Ministry of Tourism reimbursement, claimable in tranches</t>
  </si>
  <si>
    <t xml:space="preserve">  4. Ministry of Culture FSI gaming grant (2026-2028)</t>
  </si>
  <si>
    <t xml:space="preserve">MoC LOI signed Mar 2026, gaming sub-program funding window</t>
  </si>
  <si>
    <t xml:space="preserve">  5. Charte de l'Investissement subsidy (employment-linked)</t>
  </si>
  <si>
    <t xml:space="preserve">Ramps with realized employment milestones, claimable Y3 once headcount validated</t>
  </si>
  <si>
    <t xml:space="preserve">  6. Founder bridge capital (Toufic + Bassem)</t>
  </si>
  <si>
    <t xml:space="preserve">Personal bridge to demonstrate founder skin-in-the-game during stress</t>
  </si>
  <si>
    <t xml:space="preserve">  7. Lessor rent deferral (Idriss, non-cash mitigation)</t>
  </si>
  <si>
    <t xml:space="preserve">  8. Equity bridge round (R2 emergency, convertible)</t>
  </si>
  <si>
    <t xml:space="preserve">Convertible note at preferred terms, dilutive but preserves operations</t>
  </si>
  <si>
    <t xml:space="preserve">  ◆  TOTAL  RESCUE  CAPITAL  INFLOW  (annual)</t>
  </si>
  <si>
    <t xml:space="preserve">  ◆  CUMULATIVE  RESCUE  CAPITAL  DEPLOYED</t>
  </si>
  <si>
    <t xml:space="preserve">  ◆  RESCUE  CAPITAL  DEBT  SERVICE  (interest + repayment on new debt)</t>
  </si>
  <si>
    <t xml:space="preserve">    Interest on bridge + LOC ($1.5M × 9%)</t>
  </si>
  <si>
    <t xml:space="preserve">    Bridge facility principal repayment (3yr term, starting Y3)</t>
  </si>
  <si>
    <t xml:space="preserve">    Bank LOC principal repayment (5yr term, starting Y3)</t>
  </si>
  <si>
    <t xml:space="preserve">    Lessor deferred rent repayment (Y5-Y6, $350K/yr)</t>
  </si>
  <si>
    <t xml:space="preserve">  ◆  TOTAL  RESCUE  DEBT  SERVICE</t>
  </si>
  <si>
    <t xml:space="preserve">  ◆  FULLY  RESCUED  NET  CASH  FLOW  (R91 + rescue capital + debt service)</t>
  </si>
  <si>
    <t xml:space="preserve">  ◆  FULLY  RESCUED  CUMULATIVE  CASH</t>
  </si>
  <si>
    <t xml:space="preserve">◆  K.  FULLY  RESCUED  SURVIVAL  SUMMARY  (with all mitigations + rescue capital)</t>
  </si>
  <si>
    <t xml:space="preserve">  Total rescue capital deployed (Y1-Y10)</t>
  </si>
  <si>
    <t xml:space="preserve">  Max cash burn (fully rescued, deepest trough)</t>
  </si>
  <si>
    <t xml:space="preserve">  Cumulative cash at Y10 (terminal, fully rescued)</t>
  </si>
  <si>
    <t xml:space="preserve">  Improvement vs Mitigated-only (cash burn reduced by)</t>
  </si>
  <si>
    <t xml:space="preserve">  Improvement vs raw Survival (cash burn reduced by)</t>
  </si>
  <si>
    <t xml:space="preserve">  Additional capital needed beyond rescue capital + Y0 equity</t>
  </si>
  <si>
    <t xml:space="preserve">◆  L.  RESCUE  CAPITAL  STACK  NARRATIVE  (for investor materials)</t>
  </si>
  <si>
    <t xml:space="preserve">⊙ All 8 mitigations are real-world available given existing government engagements, signed LOIs, and committed partner relationships</t>
  </si>
  <si>
    <t xml:space="preserve">⊙ Grants (SMIT, MoC, Charte) total $1.8M and are non-dilutive, non-debt — already engaged but timing-uncertain</t>
  </si>
  <si>
    <t xml:space="preserve">⊙ Debt facilities (Working capital + Bank LOC) total $1.5M at ~9% blended, principal repaid Y3-Y7</t>
  </si>
  <si>
    <t xml:space="preserve">⊙ Founder bridge $300K demonstrates skin-in-the-game during stress; Lessor deferral $700K reflects committed real estate relationship</t>
  </si>
  <si>
    <t xml:space="preserve">⊙ Equity bridge R2 of $2M only triggered if Sections G + rescue capital insufficient — convertible at preferred terms</t>
  </si>
  <si>
    <t xml:space="preserve">⚠ Stress test shows: even with full $5.8M rescue capital deployed, survival case still requires operational restructuring — venue is fundamentally over-built for survival demand levels</t>
  </si>
  <si>
    <t xml:space="preserve">◆  M.  BEAR  CASE  INVESTOR  SUMMARY  —  Capital Preservation Story</t>
  </si>
  <si>
    <t xml:space="preserve">Comment</t>
  </si>
  <si>
    <t xml:space="preserve">  Bear Y3 Revenue (vs Base $6.67M)</t>
  </si>
  <si>
    <t xml:space="preserve">  Realistic -21% downside</t>
  </si>
  <si>
    <t xml:space="preserve">  Bear Y3 EBITDA (vs Base $2.16M)</t>
  </si>
  <si>
    <t xml:space="preserve">  Stays POSITIVE in Bear</t>
  </si>
  <si>
    <t xml:space="preserve">  LP equity check (R1)</t>
  </si>
  <si>
    <t xml:space="preserve">  $7.72M deployed Y0</t>
  </si>
  <si>
    <t xml:space="preserve">  LP R2 secondary returned (Y2)</t>
  </si>
  <si>
    <t xml:space="preserve">  Mandatory cash return regardless of scenario</t>
  </si>
  <si>
    <t xml:space="preserve">  Bear Y3 exit value @ 16× EBITDA</t>
  </si>
  <si>
    <t xml:space="preserve">  Conservative multiple</t>
  </si>
  <si>
    <t xml:space="preserve">  LP Y3 exit proceeds (45% stake)</t>
  </si>
  <si>
    <t xml:space="preserve">  Of exit value</t>
  </si>
  <si>
    <t xml:space="preserve">  LP TOTAL Y3 recovery (R2 + exit)</t>
  </si>
  <si>
    <t xml:space="preserve">  Capital preservation</t>
  </si>
  <si>
    <t xml:space="preserve">  LP MOIC in Bear @ Y3 / 16×</t>
  </si>
  <si>
    <t xml:space="preserve">  Above 1.0× = capital preserved</t>
  </si>
  <si>
    <t xml:space="preserve">  Bridge capital needed in worst year (Y1)</t>
  </si>
  <si>
    <t xml:space="preserve">  Working capital gap</t>
  </si>
  <si>
    <t xml:space="preserve">  Rescue capital stack available</t>
  </si>
  <si>
    <t xml:space="preserve">  SMIT + Charte + bank + bridge + R2 equity (Section J)</t>
  </si>
  <si>
    <t xml:space="preserve">  Cushion (Rescue − Bridge needed)</t>
  </si>
  <si>
    <t xml:space="preserve">  Positive = fully rescued with cushion</t>
  </si>
  <si>
    <t xml:space="preserve">ⓘ Bear case takeaway: LP capital preserved (1.44× MOIC at Y3/16× exit), bridge of $1.85M needed in Y1, rescue stack of $6.3M provides $4.45M cushion. This is an institutionally defensible downside story — not a wipeout scenario.</t>
  </si>
  <si>
    <t xml:space="preserve">  THE MEDINA LAB · ECOSYSTEM FLOW DASHBOARD</t>
  </si>
  <si>
    <t xml:space="preserve">PIXOUL  ·  CASABLANCA  </t>
  </si>
  <si>
    <t xml:space="preserve">  Read-only investor visibility layer · Cross-pillar demand &amp; monetization flows · No new calculations</t>
  </si>
  <si>
    <t xml:space="preserve">TOTAL ECOSYSTEM REVENUE</t>
  </si>
  <si>
    <t xml:space="preserve">PLATFORM MARGIN</t>
  </si>
  <si>
    <t xml:space="preserve">CROSS-PILLAR FLOWS</t>
  </si>
  <si>
    <t xml:space="preserve">REVENUE INFLUENCED</t>
  </si>
  <si>
    <t xml:space="preserve">7</t>
  </si>
  <si>
    <t xml:space="preserve">◆  SECTION  2  —  CROSS-PILLAR  FLOW  MAP  (7 tracked flows · live-linked)</t>
  </si>
  <si>
    <t xml:space="preserve">Source Pillar</t>
  </si>
  <si>
    <t xml:space="preserve">Destination</t>
  </si>
  <si>
    <t xml:space="preserve">Flow Type</t>
  </si>
  <si>
    <t xml:space="preserve">Driver / Cell</t>
  </si>
  <si>
    <t xml:space="preserve">Volume</t>
  </si>
  <si>
    <t xml:space="preserve">Y4 Revenue Impact</t>
  </si>
  <si>
    <t xml:space="preserve">Booked At</t>
  </si>
  <si>
    <t xml:space="preserve">→ Academy</t>
  </si>
  <si>
    <t xml:space="preserve">Visitor → student conversion (5%)</t>
  </si>
  <si>
    <t xml:space="preserve">Academy · Drivers!C24</t>
  </si>
  <si>
    <t xml:space="preserve">✓ live</t>
  </si>
  <si>
    <t xml:space="preserve">→ F&amp;B</t>
  </si>
  <si>
    <t xml:space="preserve">Visitor → café spend (40% × $6)</t>
  </si>
  <si>
    <t xml:space="preserve">Museum · Drivers!C61</t>
  </si>
  <si>
    <t xml:space="preserve">Events</t>
  </si>
  <si>
    <t xml:space="preserve">Event attendees → catering</t>
  </si>
  <si>
    <t xml:space="preserve">F&amp;B · Revenue!E20</t>
  </si>
  <si>
    <t xml:space="preserve">→ Talent Agency</t>
  </si>
  <si>
    <t xml:space="preserve">Graduates → placement commission</t>
  </si>
  <si>
    <t xml:space="preserve">Borderless · Revenue!E7</t>
  </si>
  <si>
    <t xml:space="preserve">→ Sponsorships</t>
  </si>
  <si>
    <t xml:space="preserve">Audience → sponsor pricing power</t>
  </si>
  <si>
    <t xml:space="preserve">Cross-Pillar Logic R13</t>
  </si>
  <si>
    <t xml:space="preserve">qual</t>
  </si>
  <si>
    <t xml:space="preserve">→ All Pillars</t>
  </si>
  <si>
    <t xml:space="preserve">Brand sponsors → audience monetization</t>
  </si>
  <si>
    <t xml:space="preserve">Sponsorships · Revenue!E27</t>
  </si>
  <si>
    <t xml:space="preserve">all 5</t>
  </si>
  <si>
    <t xml:space="preserve">→ Stability</t>
  </si>
  <si>
    <t xml:space="preserve">Tenant rent → fixed-cost support</t>
  </si>
  <si>
    <t xml:space="preserve">Subleasing · Revenue!E30</t>
  </si>
  <si>
    <t xml:space="preserve">  TOTAL DIRECT $-INFLUENCE OF CROSS-PILLAR FLOWS</t>
  </si>
  <si>
    <t xml:space="preserve">◆  SECTION  3  —  ECOSYSTEM  FLOW  DIAGRAM  (visual)</t>
  </si>
  <si>
    <t xml:space="preserve">Legend:</t>
  </si>
  <si>
    <t xml:space="preserve">  ■  Traffic/Demand</t>
  </si>
  <si>
    <t xml:space="preserve">  ■  Revenue/Monetization</t>
  </si>
  <si>
    <t xml:space="preserve">  ■  Stability/Recurring</t>
  </si>
  <si>
    <t xml:space="preserve">  ■  Ecosystem/Scale</t>
  </si>
  <si>
    <t xml:space="preserve">GAMING
HALL</t>
  </si>
  <si>
    <t xml:space="preserve">──▶</t>
  </si>
  <si>
    <t xml:space="preserve">ACADEMY</t>
  </si>
  <si>
    <t xml:space="preserve">TALENT AGENCY
(Borderless)</t>
  </si>
  <si>
    <t xml:space="preserve">5% conv</t>
  </si>
  <si>
    <t xml:space="preserve">10% grad</t>
  </si>
  <si>
    <t xml:space="preserve">MUSEUM</t>
  </si>
  <si>
    <t xml:space="preserve">◀──</t>
  </si>
  <si>
    <t xml:space="preserve">EVENTS</t>
  </si>
  <si>
    <t xml:space="preserve">40% × $6</t>
  </si>
  <si>
    <t xml:space="preserve">catering</t>
  </si>
  <si>
    <t xml:space="preserve">SPONSORSHIPS</t>
  </si>
  <si>
    <t xml:space="preserve">ALL PILLARS
(brand &amp; audience)</t>
  </si>
  <si>
    <t xml:space="preserve">audience</t>
  </si>
  <si>
    <t xml:space="preserve">monetize</t>
  </si>
  <si>
    <t xml:space="preserve">SUBLEASING</t>
  </si>
  <si>
    <t xml:space="preserve">STABILITY
(fixed-cost cover)</t>
  </si>
  <si>
    <t xml:space="preserve">rent</t>
  </si>
  <si>
    <t xml:space="preserve">◆  SECTION  4  —  REVENUE  BOOKING  RULE  (audit)</t>
  </si>
  <si>
    <t xml:space="preserve">"Cross-pillar flows are shown for visibility only. Revenue is booked only once, at the destination pillar. This dashboard does not create new revenue and does not alter Master totals."</t>
  </si>
  <si>
    <t xml:space="preserve">◆  SECTION  5  —  INVESTOR  INTERPRETATION</t>
  </si>
  <si>
    <t xml:space="preserve">   ◆  The platform is not nine isolated businesses — it is an interconnected demand system where traffic in one pillar drives revenue in another.</t>
  </si>
  <si>
    <t xml:space="preserve">   ◆  Core traffic pillars (Gaming, Events, Museum) feed higher-margin monetization layers (F&amp;B, Sponsorships, Borderless).</t>
  </si>
  <si>
    <t xml:space="preserve">   ◆  This dashboard proves ecosystem synergies WITHOUT double-counting revenue: every flow is booked once at its destination pillar; cross-pillar value is in the volume routing, not in extra dollars.</t>
  </si>
  <si>
    <t xml:space="preserve">◆  SECTION  6  —  SYSTEM  CONTROL  PANEL  (5 levers · sensitivity vs revenue)</t>
  </si>
  <si>
    <t xml:space="preserve">Lever</t>
  </si>
  <si>
    <t xml:space="preserve">Source Cell</t>
  </si>
  <si>
    <t xml:space="preserve">Current Value</t>
  </si>
  <si>
    <t xml:space="preserve">Revenue Impact</t>
  </si>
  <si>
    <t xml:space="preserve">  Gaming Footfall</t>
  </si>
  <si>
    <t xml:space="preserve">Gaming · Drivers!C15 (weekly visitors)</t>
  </si>
  <si>
    <t xml:space="preserve">VERY HIGH</t>
  </si>
  <si>
    <t xml:space="preserve">↑ Drives Gaming pillar revenue + feeds Academy + F&amp;B + Esports cross-pillar flows</t>
  </si>
  <si>
    <t xml:space="preserve">  Events Volume</t>
  </si>
  <si>
    <t xml:space="preserve">Events · Drivers!C32 (events/month)</t>
  </si>
  <si>
    <t xml:space="preserve">HIGH</t>
  </si>
  <si>
    <t xml:space="preserve">↑ Drives Events pillar revenue + Events catering ($281K F&amp;B) + Sponsorship audience value</t>
  </si>
  <si>
    <t xml:space="preserve">  Academy Conversion (G→A)</t>
  </si>
  <si>
    <t xml:space="preserve">Academy · Drivers!C24 (5%)</t>
  </si>
  <si>
    <t xml:space="preserve">MEDIUM</t>
  </si>
  <si>
    <t xml:space="preserve">↑ Captures more Gaming visitors as students; ~$261K direct cross-flow revenue</t>
  </si>
  <si>
    <t xml:space="preserve">  F&amp;B Capture Rate (Gaming)</t>
  </si>
  <si>
    <t xml:space="preserve">F&amp;B · Drivers!C32 (active conv %)</t>
  </si>
  <si>
    <t xml:space="preserve">↑ Higher Gaming→F&amp;B attach rate; affects $117K of cross-pillar F&amp;B revenue</t>
  </si>
  <si>
    <t xml:space="preserve">  Sponsorship Sales</t>
  </si>
  <si>
    <t xml:space="preserve">Sponsorships · Drivers!C28 (active title deals)</t>
  </si>
  <si>
    <t xml:space="preserve">↑ Title sponsor binary risk: $120K Y4 (single deal); 2nd sponsor adds $120K upside</t>
  </si>
  <si>
    <t xml:space="preserve">Sensitivity scale: LOW = &lt;5% revenue impact · MEDIUM = 5-10% · HIGH = 10-20% · VERY HIGH = &gt;20% or binary downside risk. Qualitative — derived from existing scenario tabs (BEAR/BASE/BULL spread).</t>
  </si>
  <si>
    <t xml:space="preserve">◆  SECTION  7  —  FLOW  DEPENDENCY  STRESS  (directional · linked to existing flow logic)</t>
  </si>
  <si>
    <t xml:space="preserve">Stress Scenario</t>
  </si>
  <si>
    <t xml:space="preserve">Impact on Revenue</t>
  </si>
  <si>
    <t xml:space="preserve">Impact on EBITDA</t>
  </si>
  <si>
    <t xml:space="preserve">Affected Cross-Pillar Flows</t>
  </si>
  <si>
    <t xml:space="preserve">  Gaming -20%</t>
  </si>
  <si>
    <t xml:space="preserve">↓↓ -$170K (Gaming) + $52K (Academy via G→A) + $23K (F&amp;B) ≈ -$245K</t>
  </si>
  <si>
    <t xml:space="preserve">↓ -$160K Platform (factoring high Gaming margin contribution)</t>
  </si>
  <si>
    <t xml:space="preserve">Breaks: Gaming→Academy ($261K), Gaming→F&amp;B ($117K), Gaming→Esports membership feed</t>
  </si>
  <si>
    <t xml:space="preserve">  Events -30%</t>
  </si>
  <si>
    <t xml:space="preserve">↓↓ -$583K (Events) + $84K (F&amp;B catering) ≈ -$667K</t>
  </si>
  <si>
    <t xml:space="preserve">Breaks: Events→F&amp;B catering ($281K), Events→Sponsorship audience pricing power</t>
  </si>
  <si>
    <t xml:space="preserve">  Academy B2B underperforms</t>
  </si>
  <si>
    <t xml:space="preserve">↓ -$200K (if 5/mo realized vs 11/mo plan) — already mitigated by +1.0 BD FTE</t>
  </si>
  <si>
    <t xml:space="preserve">↓ -$120K Platform (Academy 47.6% margin)</t>
  </si>
  <si>
    <t xml:space="preserve">Weakens: Corporate Training as feeder for Talent Agency commissions</t>
  </si>
  <si>
    <t xml:space="preserve">  Sponsorships = 0 (title lost)</t>
  </si>
  <si>
    <t xml:space="preserve">↓ -$120K (Title Sponsor lost) — pillar diversified across 5 streams</t>
  </si>
  <si>
    <t xml:space="preserve">↓ -$120K Platform direct (Sponsorships near-100% margin)</t>
  </si>
  <si>
    <t xml:space="preserve">Affects: Sponsorships → All Pillars audience monetization (28% of pillar revenue)</t>
  </si>
  <si>
    <t xml:space="preserve">  F&amp;B conversion drops -25%</t>
  </si>
  <si>
    <t xml:space="preserve">↓ -$190K (F&amp;B captures less from Gaming/Academy/Events/Museum traffic)</t>
  </si>
  <si>
    <t xml:space="preserve">↓ -$60K Platform (F&amp;B 33% margin)</t>
  </si>
  <si>
    <t xml:space="preserve">Breaks: 4 incoming flows — Gaming→F&amp;B, Events→F&amp;B, Museum→F&amp;B, Academy→F&amp;B</t>
  </si>
  <si>
    <t xml:space="preserve">NOTE: Directional stress only — no new numbers calculated. Magnitudes derived from existing pillar margins (Gaming 41% · Events 71.7% · Academy 47.6% · F&amp;B 32.9% · Sponsorships 76.1%) applied to scenario revenue cuts. For exact stress numbers, toggle Exec Summary H7 to BEAR scenario.</t>
  </si>
  <si>
    <t xml:space="preserve">◆  SECTION  8  —  FLOW  CONTRIBUTION  RANKING  (sorted descending · live-linked)</t>
  </si>
  <si>
    <t xml:space="preserve">Rank</t>
  </si>
  <si>
    <t xml:space="preserve">Flow</t>
  </si>
  <si>
    <t xml:space="preserve">% of Influenced Revenue</t>
  </si>
  <si>
    <t xml:space="preserve">Bar</t>
  </si>
  <si>
    <t xml:space="preserve">  Sponsorships → All Pillars</t>
  </si>
  <si>
    <t xml:space="preserve">  Events → F&amp;B (catering)</t>
  </si>
  <si>
    <t xml:space="preserve">  Gaming → Academy</t>
  </si>
  <si>
    <t xml:space="preserve">  Subleasing → Stability</t>
  </si>
  <si>
    <t xml:space="preserve">  Museum → F&amp;B</t>
  </si>
  <si>
    <t xml:space="preserve">  Academy → Talent Agency</t>
  </si>
  <si>
    <t xml:space="preserve">  Events → Sponsorships (qual)</t>
  </si>
  <si>
    <t xml:space="preserve">0</t>
  </si>
  <si>
    <t xml:space="preserve">qualitative</t>
  </si>
  <si>
    <t xml:space="preserve">  TOTAL Cross-Pillar Influenced Revenue</t>
  </si>
  <si>
    <t xml:space="preserve">100.0%</t>
  </si>
  <si>
    <t xml:space="preserve">  MASTER DEMAND ENGINE — Read-Only Cross-Pillar View</t>
  </si>
  <si>
    <t xml:space="preserve">  External Demand → Traffic → Allocation → Conversion → Volume → Revenue · DASHBOARD</t>
  </si>
  <si>
    <t xml:space="preserve">⊙  READ-ONLY DASHBOARD — Numbers pulled live from pillar Drivers · No write-back to Master Revenue · No circular references</t>
  </si>
  <si>
    <t xml:space="preserve">◆  SECTION  1  —  EXTERNAL  TRAFFIC  SOURCES  (annual TAM × capture %)</t>
  </si>
  <si>
    <t xml:space="preserve">Source</t>
  </si>
  <si>
    <t xml:space="preserve">Annual Volume</t>
  </si>
  <si>
    <t xml:space="preserve">Capture %</t>
  </si>
  <si>
    <t xml:space="preserve">Captured Traffic</t>
  </si>
  <si>
    <t xml:space="preserve">  CFC Footfall (Casablanca Finance City)</t>
  </si>
  <si>
    <t xml:space="preserve">CFC daily ~12K; 0.5% conversion to discovery visit</t>
  </si>
  <si>
    <t xml:space="preserve">  Schools (Casa metro K-12)</t>
  </si>
  <si>
    <t xml:space="preserve">Casa-Settat ~350K students; ~5K reachable via partnerships</t>
  </si>
  <si>
    <t xml:space="preserve">  Corporates (Casa businesses 10+ FTE)</t>
  </si>
  <si>
    <t xml:space="preserve">Reach 200 corporates for B2B (Academy + Events)</t>
  </si>
  <si>
    <t xml:space="preserve">  Tourists (Casa annual visitors)</t>
  </si>
  <si>
    <t xml:space="preserve">~2.4M tourists/yr; 1% pass through complex</t>
  </si>
  <si>
    <t xml:space="preserve">  Gamers (Morocco regional TAM)</t>
  </si>
  <si>
    <t xml:space="preserve">~850K Morocco gamers; 22K active reach</t>
  </si>
  <si>
    <t xml:space="preserve">  TOTAL CAPTURED TRAFFIC (annual)</t>
  </si>
  <si>
    <t xml:space="preserve">◆  SECTION  2  —  TRAFFIC  ALLOCATION  (5 customer-facing pillars · sums to 100%)</t>
  </si>
  <si>
    <t xml:space="preserve">Allocation %</t>
  </si>
  <si>
    <t xml:space="preserve">Allocated Traffic</t>
  </si>
  <si>
    <t xml:space="preserve">Largest single-visit destination · highest discovery role</t>
  </si>
  <si>
    <t xml:space="preserve">Bookable events drive concentrated traffic bursts</t>
  </si>
  <si>
    <t xml:space="preserve">Recurring students + working-adult evening + B2B</t>
  </si>
  <si>
    <t xml:space="preserve">Cultural anchor · tourist-heavy + school groups</t>
  </si>
  <si>
    <t xml:space="preserve">Regular gamer membership base + walk-ins</t>
  </si>
  <si>
    <t xml:space="preserve">  TOTAL ALLOCATION</t>
  </si>
  <si>
    <t xml:space="preserve">◆  SECTION  3  —  CROSS-PILLAR  CONVERSION  ENGINE  (live-linked to pillar Drivers)</t>
  </si>
  <si>
    <t xml:space="preserve">Source Volume</t>
  </si>
  <si>
    <t xml:space="preserve">Conversion %</t>
  </si>
  <si>
    <t xml:space="preserve">Converted Volume</t>
  </si>
  <si>
    <t xml:space="preserve">Driver Source</t>
  </si>
  <si>
    <t xml:space="preserve">  Gaming → Academy (footfall → enrolment)</t>
  </si>
  <si>
    <t xml:space="preserve">Academy Drivers C24</t>
  </si>
  <si>
    <t xml:space="preserve">  Events → F&amp;B (attendees → catering spend)</t>
  </si>
  <si>
    <t xml:space="preserve">0.85</t>
  </si>
  <si>
    <t xml:space="preserve">Events catering attach %</t>
  </si>
  <si>
    <t xml:space="preserve">  Academy → Talent Agency (graduates → placement)</t>
  </si>
  <si>
    <t xml:space="preserve">Talent Agency Phase 1 Y4 (Academy · Drivers C247) — restructured May 2026</t>
  </si>
  <si>
    <t xml:space="preserve">  Museum → F&amp;B (visitors → spend)</t>
  </si>
  <si>
    <t xml:space="preserve">Museum Drivers C59</t>
  </si>
  <si>
    <t xml:space="preserve">  Gaming → Esports (footfall → membership)</t>
  </si>
  <si>
    <t xml:space="preserve">0.045</t>
  </si>
  <si>
    <t xml:space="preserve">140 members ÷ ~3K reach</t>
  </si>
  <si>
    <t xml:space="preserve">◆  SECTION  4  —  DEMAND  →  REVENUE  BRIDGE  (volume × implied avg price = pillar revenue)</t>
  </si>
  <si>
    <t xml:space="preserve">Implied Avg Price</t>
  </si>
  <si>
    <t xml:space="preserve">Bridge Revenue</t>
  </si>
  <si>
    <t xml:space="preserve">  TOTAL (5 customer-facing pillars)</t>
  </si>
  <si>
    <t xml:space="preserve">◆  SECTION  5  —  CAPACITY  CONSTRAINT  CHECK  (Demand vs Capacity vs Supported)</t>
  </si>
  <si>
    <t xml:space="preserve">Demand</t>
  </si>
  <si>
    <t xml:space="preserve">Capacity Ceiling</t>
  </si>
  <si>
    <t xml:space="preserve">Supported (MIN)</t>
  </si>
  <si>
    <t xml:space="preserve">Headroom</t>
  </si>
  <si>
    <t xml:space="preserve">60000</t>
  </si>
  <si>
    <t xml:space="preserve">◆  SECTION  6  —  OUTPUT  RECONCILIATION  WITH  MASTER  REVENUE</t>
  </si>
  <si>
    <t xml:space="preserve">Δ Variance</t>
  </si>
  <si>
    <t xml:space="preserve">⊙  HOW  TO  READ  THIS  DASHBOARD</t>
  </si>
  <si>
    <t xml:space="preserve">READ-ONLY dashboard. Pulls live from existing pillar Drivers, shows cross-pillar narrative WITHOUT creating a parallel revenue calculation. Section 1 has the only hardcoded inputs (yellow) — external Casa-Settat market sizes that don't exist elsewhere. Sections 3-6 reference pillar Drivers/Revenue cells directly, so any pillar change flows through. Section 6 reconciles to Master Revenue exactly because it shares source cells. The 4 non-customer-facing pillars (F&amp;B, Subleasing, Sponsorships, Borderless) aren't in Sections 2/4/5/6 because they monetize traffic FROM customer-facing pillars (see existing Cross-Pillar Logic tab for those flows).</t>
  </si>
  <si>
    <t xml:space="preserve">  Cross-Pillar Logic · INFO-ONLY Flows · No Double Counting</t>
  </si>
  <si>
    <t xml:space="preserve">  Synergy map · Each flow shows source / destination / receiving pillar books revenue</t>
  </si>
  <si>
    <t xml:space="preserve">◆  CROSS-PILLAR  FLOWS  (INFO  ONLY  —  NOT  BOOKED  TWICE)</t>
  </si>
  <si>
    <t xml:space="preserve">Destination Pillar</t>
  </si>
  <si>
    <t xml:space="preserve">Flow Description</t>
  </si>
  <si>
    <t xml:space="preserve">Annual $ Y4</t>
  </si>
  <si>
    <t xml:space="preserve">  → F&amp;B</t>
  </si>
  <si>
    <t xml:space="preserve">  Gaming visitors → F&amp;B spend (gameplay → food/drink)</t>
  </si>
  <si>
    <t xml:space="preserve">  In F&amp;B Pillar 07 (cross-pillar revenue)</t>
  </si>
  <si>
    <t xml:space="preserve">  Esports gamers → F&amp;B spend (sessions → food/drink)</t>
  </si>
  <si>
    <t xml:space="preserve">  In F&amp;B Pillar 07</t>
  </si>
  <si>
    <t xml:space="preserve">  Museum visitors → F&amp;B spend (post-tour cafe)</t>
  </si>
  <si>
    <t xml:space="preserve">  Event attendees → F&amp;B + Catering revenue</t>
  </si>
  <si>
    <t xml:space="preserve">  Catering channel in F&amp;B</t>
  </si>
  <si>
    <t xml:space="preserve">  → Academy</t>
  </si>
  <si>
    <t xml:space="preserve">  Gaming visitors → Academy enrollment (5% conversion)</t>
  </si>
  <si>
    <t xml:space="preserve">  Booked as Academy revenue</t>
  </si>
  <si>
    <t xml:space="preserve">  Museum visitors → school program leads</t>
  </si>
  <si>
    <t xml:space="preserve">  Lead generation, no $ flow</t>
  </si>
  <si>
    <t xml:space="preserve">  → Sponsorships</t>
  </si>
  <si>
    <t xml:space="preserve">  Event audience → premium sponsor packages</t>
  </si>
  <si>
    <t xml:space="preserve">  Increases sponsor pricing power</t>
  </si>
  <si>
    <t xml:space="preserve">  → Repeat Visits</t>
  </si>
  <si>
    <t xml:space="preserve">  Gaming → multi-session memberships → F&amp;B/retail capture</t>
  </si>
  <si>
    <t xml:space="preserve">Various</t>
  </si>
  <si>
    <t xml:space="preserve">  Drives ecosystem engagement</t>
  </si>
  <si>
    <t xml:space="preserve">  → Borderless</t>
  </si>
  <si>
    <t xml:space="preserve">  Academy graduates → Talent Agency placement pipeline</t>
  </si>
  <si>
    <t xml:space="preserve">  Talent commission revenue</t>
  </si>
  <si>
    <t xml:space="preserve">  → Stability</t>
  </si>
  <si>
    <t xml:space="preserve">  Sublease tenants → predictable monthly cash → covers overhead</t>
  </si>
  <si>
    <t xml:space="preserve">  Stability layer · low risk</t>
  </si>
  <si>
    <t xml:space="preserve">  → All pillars</t>
  </si>
  <si>
    <t xml:space="preserve">  Brand sponsors → audience monetization across ecosystem</t>
  </si>
  <si>
    <t xml:space="preserve">  High-margin upside</t>
  </si>
  <si>
    <t xml:space="preserve">  → External</t>
  </si>
  <si>
    <t xml:space="preserve">  Brand exports → talent + B2B education + exhibitions</t>
  </si>
  <si>
    <t xml:space="preserve">  Asset-light scale layer</t>
  </si>
  <si>
    <t xml:space="preserve">⚠  CRITICAL  RULE  —  NO  DOUBLE  COUNTING</t>
  </si>
  <si>
    <t xml:space="preserve">  •  Each cross-pillar flow shown above is INFO ONLY in the source pillar.
  •  Revenue is BOOKED ONLY at the destination pillar (the receiving pillar's revenue).
  •  Master Revenue total at $7.22M is the SUM of pillar revenues — no flow is counted twice.
  •  Cross-pillar flows demonstrate ECOSYSTEM SYNERGIES, not additional revenue.</t>
  </si>
  <si>
    <t xml:space="preserve">◆  PILLAR  ROLES  IN  ECOSYSTEM</t>
  </si>
  <si>
    <t xml:space="preserve">Role</t>
  </si>
  <si>
    <t xml:space="preserve">Strategic Function</t>
  </si>
  <si>
    <t xml:space="preserve">  TRAFFIC ENGINE</t>
  </si>
  <si>
    <t xml:space="preserve">  Daily footfall · Discovery channel · Feeds F&amp;B + Academy</t>
  </si>
  <si>
    <t xml:space="preserve">  EVENT POWER</t>
  </si>
  <si>
    <t xml:space="preserve">  Private + corporate gatherings · High margin</t>
  </si>
  <si>
    <t xml:space="preserve">  RECURRING</t>
  </si>
  <si>
    <t xml:space="preserve">  Education + Coworking + Incubation · Stable monthly cash</t>
  </si>
  <si>
    <t xml:space="preserve">  ENGAGEMENT</t>
  </si>
  <si>
    <t xml:space="preserve">  Recurring members + tournaments + Online → daily users</t>
  </si>
  <si>
    <t xml:space="preserve">  BRAND + PERCEPTION</t>
  </si>
  <si>
    <t xml:space="preserve">  Premium positioning · Drives pricing power across pillars</t>
  </si>
  <si>
    <t xml:space="preserve">  STABILITY</t>
  </si>
  <si>
    <t xml:space="preserve">  Pass-through cash · Lowers operating leverage risk</t>
  </si>
  <si>
    <t xml:space="preserve">  CASH ENGINE</t>
  </si>
  <si>
    <t xml:space="preserve">  Captures spend from 5+ traffic streams · Highest absolute $</t>
  </si>
  <si>
    <t xml:space="preserve">  MARGIN UPSIDE</t>
  </si>
  <si>
    <t xml:space="preserve">  High-margin · Monetizes entire ecosystem audience</t>
  </si>
  <si>
    <t xml:space="preserve">  SCALE LAYER</t>
  </si>
  <si>
    <t xml:space="preserve">  Asset-light · Exports brand + IP without new physical site</t>
  </si>
  <si>
    <t xml:space="preserve">◆  D.  TRAFFIC  ATTRIBUTION  METHODOLOGY  (Institutional Disclosure)</t>
  </si>
  <si>
    <t xml:space="preserve">⊙ INSTITUTIONAL DISCLOSURE — How traffic is counted across pillars</t>
  </si>
  <si>
    <t xml:space="preserve">PRINCIPLE: Each visitor enters the ecosystem ONCE via a PRIMARY pillar.</t>
  </si>
  <si>
    <t xml:space="preserve">Secondary monetization (e.g., a Gaming visitor buying F&amp;B) is modeled as a CONVERSION PROBABILITY in the destination pillar — NOT as a separate visitor count.</t>
  </si>
  <si>
    <t xml:space="preserve">◆ Primary Traffic Sources (each visitor counted ONCE):</t>
  </si>
  <si>
    <t xml:space="preserve">   1. Gaming Hall — daily walk-in + bookings</t>
  </si>
  <si>
    <t xml:space="preserve">   2. Events Hall — event-driven attendees (corporate, private)</t>
  </si>
  <si>
    <t xml:space="preserve">   3. Academy — enrolled students (recurring multi-month)</t>
  </si>
  <si>
    <t xml:space="preserve">   4. Esports Lounge — competitive players + spectators</t>
  </si>
  <si>
    <t xml:space="preserve">   5. Museum — ticketed visitors</t>
  </si>
  <si>
    <t xml:space="preserve">   6. Borderless — virtual/external (NOT physical traffic)</t>
  </si>
  <si>
    <t xml:space="preserve">◆ Secondary Monetization (NO new visitor count — uses conversion %):</t>
  </si>
  <si>
    <t xml:space="preserve">Primary Visitor Type</t>
  </si>
  <si>
    <t xml:space="preserve">→ Secondary Pillar</t>
  </si>
  <si>
    <t xml:space="preserve">Treatment</t>
  </si>
  <si>
    <t xml:space="preserve">Gaming visitor</t>
  </si>
  <si>
    <t xml:space="preserve">35%</t>
  </si>
  <si>
    <t xml:space="preserve">F&amp;B revenue from this visitor counted in F&amp;B pillar only</t>
  </si>
  <si>
    <t xml:space="preserve">Events attendee</t>
  </si>
  <si>
    <t xml:space="preserve">60%</t>
  </si>
  <si>
    <t xml:space="preserve">Catering revenue counted in Events OR F&amp;B (not both)</t>
  </si>
  <si>
    <t xml:space="preserve">Museum visitor</t>
  </si>
  <si>
    <t xml:space="preserve">20%</t>
  </si>
  <si>
    <t xml:space="preserve">Quick service captured in F&amp;B, not Museum</t>
  </si>
  <si>
    <t xml:space="preserve">Esports player</t>
  </si>
  <si>
    <t xml:space="preserve">50%</t>
  </si>
  <si>
    <t xml:space="preserve">High dwell-time, captured in F&amp;B</t>
  </si>
  <si>
    <t xml:space="preserve">5%</t>
  </si>
  <si>
    <t xml:space="preserve">Trial-to-enrollment captured in Academy only</t>
  </si>
  <si>
    <t xml:space="preserve">8%</t>
  </si>
  <si>
    <t xml:space="preserve">School groups → workshop conversions</t>
  </si>
  <si>
    <t xml:space="preserve">Brand visibility — uplift in Sponsorships pillar (not separate booking)</t>
  </si>
  <si>
    <t xml:space="preserve">Academy student</t>
  </si>
  <si>
    <t xml:space="preserve">→ Borderless</t>
  </si>
  <si>
    <t xml:space="preserve">15%</t>
  </si>
  <si>
    <t xml:space="preserve">Online enrollment included in Academy or Borderless (not both)</t>
  </si>
  <si>
    <t xml:space="preserve">◆ DOUBLE-COUNT GUARDRAILS:</t>
  </si>
  <si>
    <t xml:space="preserve">   ✓ Footfall counted ONCE per visitor (primary pillar Drivers tab)</t>
  </si>
  <si>
    <t xml:space="preserve">   ✓ Conversion revenue booked in DESTINATION pillar only</t>
  </si>
  <si>
    <t xml:space="preserve">   ✓ Cross-flows shown in Section A (R7-R18) are INFORMATIONAL — they describe synergy, not revenue</t>
  </si>
  <si>
    <t xml:space="preserve">   ✓ Sponsorships pillar uses event-driven brand exposure as input, not separate visitor count</t>
  </si>
  <si>
    <t xml:space="preserve">   ✓ Subleasing revenue is independent (third-party tenants, no shared traffic)</t>
  </si>
  <si>
    <t xml:space="preserve">⊙ Reviewer note: A visitor who plays games AND buys food contributes to TWO pillars' revenue — but their FOOTFALL is counted ONLY in Gaming. The F&amp;B conversion is a probability applied to that single footfall, never a duplicate visit.</t>
  </si>
  <si>
    <t xml:space="preserve">◆ E.  AUDIT  EVIDENCE  —  Footfall Reconciliation (Y4 illustrative)</t>
  </si>
  <si>
    <t xml:space="preserve">Primary Pillar</t>
  </si>
  <si>
    <t xml:space="preserve">Y4 Footfall (visits)</t>
  </si>
  <si>
    <t xml:space="preserve">Counted in Drivers?</t>
  </si>
  <si>
    <t xml:space="preserve">46,800/yr (Gaming · Drivers C29)</t>
  </si>
  <si>
    <t xml:space="preserve">YES — Gaming · Drivers C16</t>
  </si>
  <si>
    <t xml:space="preserve">~120 events/yr × 90 attendees avg (Events · Drivers)</t>
  </si>
  <si>
    <t xml:space="preserve">YES — Events · Drivers C16</t>
  </si>
  <si>
    <t xml:space="preserve">600 students/mo × 12 mo = 7,200 enrollments/yr (Academy · Drivers C49)</t>
  </si>
  <si>
    <t xml:space="preserve">YES — Academy · Drivers (annual students)</t>
  </si>
  <si>
    <t xml:space="preserve">~28,000/yr (Esports · Drivers)</t>
  </si>
  <si>
    <t xml:space="preserve">YES — Esports · Drivers C16</t>
  </si>
  <si>
    <t xml:space="preserve">~21,000/yr (Museum · Drivers)</t>
  </si>
  <si>
    <t xml:space="preserve">YES — Museum · Drivers C16</t>
  </si>
  <si>
    <t xml:space="preserve">⊙ Illustrative figures — see individual pillar Drivers tabs for current scenario values</t>
  </si>
  <si>
    <t xml:space="preserve">⊙ Each pillar maintains its own footfall counter in its Drivers tab. Cross-pillar conversions reference these counters but do NOT create new footfall.</t>
  </si>
  <si>
    <t xml:space="preserve">◆ F.  NUMERICAL  AUDIT  —  Y4  Catering  Revenue  Split  (no double count proof)</t>
  </si>
  <si>
    <t xml:space="preserve">Y4 Value ($)</t>
  </si>
  <si>
    <t xml:space="preserve">Booked In</t>
  </si>
  <si>
    <t xml:space="preserve">  Total event catering pool (33,000 attendees × 70% × $10)</t>
  </si>
  <si>
    <t xml:space="preserve">  Split between Events + F&amp;B</t>
  </si>
  <si>
    <t xml:space="preserve">  Events Hall management commission (30% retained markup)</t>
  </si>
  <si>
    <t xml:space="preserve">  Events Hall pillar</t>
  </si>
  <si>
    <t xml:space="preserve">  F&amp;B kitchen net revenue (70% of pool, billed by F&amp;B)</t>
  </si>
  <si>
    <t xml:space="preserve">  F&amp;B pillar</t>
  </si>
  <si>
    <t xml:space="preserve">  ◆ Sum (Events commission + F&amp;B kitchen) — should equal pool</t>
  </si>
  <si>
    <t xml:space="preserve">  RECONCILES</t>
  </si>
  <si>
    <t xml:space="preserve">  Δ (Sum − Pool)  ·  ZERO  =  NO  DOUBLE  COUNT</t>
  </si>
  <si>
    <t xml:space="preserve">ⓘ  This proves: catering revenue from event attendees is counted ONCE — Events Hall takes a 30% management fee, F&amp;B kitchen earns 70%. No double-booking.</t>
  </si>
  <si>
    <t xml:space="preserve">◆ G.  ECOSYSTEM  REVENUE  CHECK  —  9-Pillar Sum vs Cross-Pillar Flows (Y4 mature)</t>
  </si>
  <si>
    <t xml:space="preserve">Includes Other Pillar Income?</t>
  </si>
  <si>
    <t xml:space="preserve">Cross-pillar Notes</t>
  </si>
  <si>
    <t xml:space="preserve">NO — Gaming books in-park sales only</t>
  </si>
  <si>
    <t xml:space="preserve">F&amp;B captures food covers (14,040 × $4)</t>
  </si>
  <si>
    <t xml:space="preserve">YES — 30% catering markup ($99K)</t>
  </si>
  <si>
    <t xml:space="preserve">F&amp;B captures kitchen 70% ($231K)</t>
  </si>
  <si>
    <t xml:space="preserve">YES — small in-pillar cafe ($60K)</t>
  </si>
  <si>
    <t xml:space="preserve">F&amp;B captures bulk (5,616 covers)</t>
  </si>
  <si>
    <t xml:space="preserve">NO</t>
  </si>
  <si>
    <t xml:space="preserve">F&amp;B captures Esports F&amp;B share</t>
  </si>
  <si>
    <t xml:space="preserve">F&amp;B captures Museum visitor F&amp;B</t>
  </si>
  <si>
    <t xml:space="preserve">NO — independent tenants</t>
  </si>
  <si>
    <t xml:space="preserve">No cross-pillar interaction</t>
  </si>
  <si>
    <t xml:space="preserve">AGGREGATOR — receives from all</t>
  </si>
  <si>
    <t xml:space="preserve">Captures % from each source pillar</t>
  </si>
  <si>
    <t xml:space="preserve">NO — deal pipeline</t>
  </si>
  <si>
    <t xml:space="preserve">Brand-driven, not traffic-driven</t>
  </si>
  <si>
    <t xml:space="preserve">NO — virtual/external</t>
  </si>
  <si>
    <t xml:space="preserve">No physical footfall</t>
  </si>
  <si>
    <t xml:space="preserve">ⓘ  Total Y4 ecosystem revenue = sum of 9 pillars with explicit cross-pillar attribution. Pillars with "YES" (Events, Academy) book a small commission/auxiliary share — F&amp;B captures the bulk via its own conversion %. The reconciliation in Section F (r93-97) proves zero double-counting for the largest cross-pillar flow (Events → F&amp;B catering pool, $330K total split correctly).</t>
  </si>
  <si>
    <t xml:space="preserve">  Traffic Engine · Unified Visitor / User Table</t>
  </si>
  <si>
    <t xml:space="preserve">  Annual visitors by pillar · Conversion rates · Cross-pillar flow visibility</t>
  </si>
  <si>
    <t xml:space="preserve">◆  ECOSYSTEM  TRAFFIC  (annual mature · Y4 Base)</t>
  </si>
  <si>
    <t xml:space="preserve">Pillar / Channel</t>
  </si>
  <si>
    <t xml:space="preserve">Annual Visitors</t>
  </si>
  <si>
    <t xml:space="preserve">Per Week</t>
  </si>
  <si>
    <t xml:space="preserve">Per Day Avg</t>
  </si>
  <si>
    <t xml:space="preserve">Conv % to F&amp;B</t>
  </si>
  <si>
    <t xml:space="preserve">Spillover Notes</t>
  </si>
  <si>
    <t xml:space="preserve">Visits / Yr / Person</t>
  </si>
  <si>
    <t xml:space="preserve">Implied Unique People</t>
  </si>
  <si>
    <t xml:space="preserve">  Gaming Hall visitors</t>
  </si>
  <si>
    <t xml:space="preserve">  Drives F&amp;B + Academy conversion</t>
  </si>
  <si>
    <t xml:space="preserve">  Pillar 01 Drivers</t>
  </si>
  <si>
    <t xml:space="preserve">  Esports Lounge users</t>
  </si>
  <si>
    <t xml:space="preserve">  Recurring members → daily F&amp;B</t>
  </si>
  <si>
    <t xml:space="preserve">  Pillar 04 Drivers</t>
  </si>
  <si>
    <t xml:space="preserve">  Museum visitors</t>
  </si>
  <si>
    <t xml:space="preserve">  Post-visit cafe + brand awareness</t>
  </si>
  <si>
    <t xml:space="preserve">  Pillar 05 Drivers</t>
  </si>
  <si>
    <t xml:space="preserve">  Event attendees</t>
  </si>
  <si>
    <t xml:space="preserve">  Highest F&amp;B spend per visitor</t>
  </si>
  <si>
    <t xml:space="preserve">  Pillar 02 Drivers</t>
  </si>
  <si>
    <t xml:space="preserve">  Academy students</t>
  </si>
  <si>
    <t xml:space="preserve">  1.3 courses/student → ~1,800 unique enrollees · weekly classes × 10mo retention each</t>
  </si>
  <si>
    <t xml:space="preserve">  Pillar 03 Drivers</t>
  </si>
  <si>
    <t xml:space="preserve">  External F&amp;B (CFC)</t>
  </si>
  <si>
    <t xml:space="preserve">  Direct F&amp;B traffic — no cross-pillar</t>
  </si>
  <si>
    <t xml:space="preserve">  Pillar 07 Drivers</t>
  </si>
  <si>
    <t xml:space="preserve">  Online F&amp;B orders</t>
  </si>
  <si>
    <t xml:space="preserve">  Delivery + pickup</t>
  </si>
  <si>
    <t xml:space="preserve">  Coworking members</t>
  </si>
  <si>
    <t xml:space="preserve">  Daily presence → cafe</t>
  </si>
  <si>
    <t xml:space="preserve">  Subleasing tenants</t>
  </si>
  <si>
    <t xml:space="preserve">  Sublease tenant employees</t>
  </si>
  <si>
    <t xml:space="preserve">  Pillar 06 Drivers</t>
  </si>
  <si>
    <t xml:space="preserve">  Borderless exhibition reach</t>
  </si>
  <si>
    <t xml:space="preserve">  External — no Casa F&amp;B impact</t>
  </si>
  <si>
    <t xml:space="preserve">  Pillar 09 Drivers</t>
  </si>
  <si>
    <t xml:space="preserve">  ECOSYSTEM TOTAL TRAFFIC</t>
  </si>
  <si>
    <t xml:space="preserve">◆  TRAFFIC  CONVERSION  COMMENTARY</t>
  </si>
  <si>
    <t xml:space="preserve">  •  Total ecosystem traffic at Y4 mature: ~285K visits/yr across all channels (Academy = course enrollments, not visits).
  •  F&amp;B captures the highest share of ecosystem spend by intercepting Gaming + Esports + Museum + Events + Academy traffic.
  •  Online F&amp;B orders + External CFC (Casablanca Food Court) provide INDEPENDENT traffic outside the Pixoul venue.
  •  Conversion rates above are pillar-team estimates based on industry benchmarks for similar Casa venues.
  •  Borderless exhibition reach (~8K) is OUTSIDE Casa — no cross-pillar F&amp;B impact in Casablanca venue.
  ⊙  VISITS  ≠  UNIQUE  PEOPLE — see columns I and J above:
       –  Gaming Hall: 1.6 visits/yr → ~29,250 unique gamers
       –  Esports Lounge: 8 visits/yr → ~4,500 unique members (recurring)
       –  Museum: 1.3 visits/yr → ~27,692 unique visitors (mostly one-time)
       –  Events: 1.3 visits/yr → ~36,923 unique attendees
       –  Academy: 2,340 = course enrollments (NOT visits) · 1.3 courses/student avg → ~1,800 unique students. Each student attends ~40 weekly sessions over 10mo retention.
       –  External F&amp;B (CFC): 8 visits/yr → ~11,250 unique customers (regulars)
       –  Coworking + Subleasing rows are already unique-people counts.
       –  Implied total unique reach across the ecosystem ≈ ~110K–120K unique people.</t>
  </si>
  <si>
    <t xml:space="preserve">  Monetization Engine · Revenue Stream Taxonomy</t>
  </si>
  <si>
    <t xml:space="preserve">  By revenue type · Cross-pillar view · Y4 Base mature</t>
  </si>
  <si>
    <t xml:space="preserve">◆  REVENUE  STREAMS  BY  CATEGORY  (Y4 Base · all pillars)</t>
  </si>
  <si>
    <t xml:space="preserve">Stream Category</t>
  </si>
  <si>
    <t xml:space="preserve">Annual Y4</t>
  </si>
  <si>
    <t xml:space="preserve">% Total</t>
  </si>
  <si>
    <t xml:space="preserve">  TICKETING</t>
  </si>
  <si>
    <t xml:space="preserve">  VR + Arcade + Redemption ticket revenue</t>
  </si>
  <si>
    <t xml:space="preserve">  Tour tickets + premium experiences</t>
  </si>
  <si>
    <t xml:space="preserve">  MEMBERSHIPS</t>
  </si>
  <si>
    <t xml:space="preserve">  Monthly recurring subscriptions</t>
  </si>
  <si>
    <t xml:space="preserve">  Coworking memberships</t>
  </si>
  <si>
    <t xml:space="preserve">  PAY-PER-USE</t>
  </si>
  <si>
    <t xml:space="preserve">  Walk-in hourly + member play time</t>
  </si>
  <si>
    <t xml:space="preserve">  Arcade + Redemption pay-per-play</t>
  </si>
  <si>
    <t xml:space="preserve">  EVENTS</t>
  </si>
  <si>
    <t xml:space="preserve">  Private + corporate event hire</t>
  </si>
  <si>
    <t xml:space="preserve">  Private pod hourly bookings</t>
  </si>
  <si>
    <t xml:space="preserve">  F&amp;B  (in-pillar)</t>
  </si>
  <si>
    <t xml:space="preserve">  Coffee/cafe in Academy zone</t>
  </si>
  <si>
    <t xml:space="preserve">  F&amp;B  (group total)</t>
  </si>
  <si>
    <t xml:space="preserve">  All F&amp;B across ecosystem</t>
  </si>
  <si>
    <t xml:space="preserve">  EDUCATION</t>
  </si>
  <si>
    <t xml:space="preserve">  Core gaming/coding programs</t>
  </si>
  <si>
    <t xml:space="preserve">  Corporate training (B2B)</t>
  </si>
  <si>
    <t xml:space="preserve">  Lab / workshops</t>
  </si>
  <si>
    <t xml:space="preserve">  Incubation Program (cohorts + rev share)</t>
  </si>
  <si>
    <t xml:space="preserve">  External education programs</t>
  </si>
  <si>
    <t xml:space="preserve">  SPONSORSHIPS</t>
  </si>
  <si>
    <t xml:space="preserve">  Title + Zones + Events + Activations</t>
  </si>
  <si>
    <t xml:space="preserve">  SUBLEASING</t>
  </si>
  <si>
    <t xml:space="preserve">  Core sublease + Coffee + 3 Retail</t>
  </si>
  <si>
    <t xml:space="preserve">  TALENT AGENCY</t>
  </si>
  <si>
    <t xml:space="preserve">  Commissions on placed talent</t>
  </si>
  <si>
    <t xml:space="preserve">  TOURING</t>
  </si>
  <si>
    <t xml:space="preserve">  Exhibitions + activations</t>
  </si>
  <si>
    <t xml:space="preserve">  ONLINE TOURNAMENTS</t>
  </si>
  <si>
    <t xml:space="preserve">  Online qualifiers + sponsor revenue</t>
  </si>
  <si>
    <t xml:space="preserve">  IN-PERSON TOURN.</t>
  </si>
  <si>
    <t xml:space="preserve">  Casa esports tournaments</t>
  </si>
  <si>
    <t xml:space="preserve">  CATERING</t>
  </si>
  <si>
    <t xml:space="preserve">  F&amp;B (channel)</t>
  </si>
  <si>
    <t xml:space="preserve">see F&amp;B</t>
  </si>
  <si>
    <t xml:space="preserve">  External catering — booked in F&amp;B total above</t>
  </si>
  <si>
    <t xml:space="preserve">◆  CROSS-PILLAR  REVENUE  TAXONOMY</t>
  </si>
  <si>
    <t xml:space="preserve">Above shows revenue at the STREAM level (granularity) — TICKETING is across Gaming + Museum, EDUCATION is across Academy + Borderless, etc.
F&amp;B 'group total' avoids double-counting: each pillar's cross-pillar F&amp;B contribution (Gaming → F&amp;B, Museum → F&amp;B, etc.) is BOOKED in F&amp;B Pillar 07.
Catering 'see F&amp;B' line: external catering revenue is part of F&amp;B Pillar 07's $1.52M total, not a separate line — shown for taxonomy completeness.</t>
  </si>
  <si>
    <t xml:space="preserve">  Borderless Module · Talent + Education + Touring</t>
  </si>
  <si>
    <t xml:space="preserve">  Asset-light scale layer · 3 components · Y4 Base &amp; Upside</t>
  </si>
  <si>
    <t xml:space="preserve">◆  3  COMPONENTS  ·  Y4  MATURE  (Base case)</t>
  </si>
  <si>
    <t xml:space="preserve">$/unit</t>
  </si>
  <si>
    <t xml:space="preserve">  1. Talent Agency</t>
  </si>
  <si>
    <t xml:space="preserve">80 talents</t>
  </si>
  <si>
    <t xml:space="preserve">$4,500/talent</t>
  </si>
  <si>
    <t xml:space="preserve">10% commission</t>
  </si>
  <si>
    <t xml:space="preserve">  Academy graduates placed externally</t>
  </si>
  <si>
    <t xml:space="preserve">  2. External Education</t>
  </si>
  <si>
    <t xml:space="preserve">16 programs</t>
  </si>
  <si>
    <t xml:space="preserve">$4,500/program</t>
  </si>
  <si>
    <t xml:space="preserve">B2B + institutions</t>
  </si>
  <si>
    <t xml:space="preserve">  Corporate + schools + government</t>
  </si>
  <si>
    <t xml:space="preserve">  3. Exhibitions / Touring</t>
  </si>
  <si>
    <t xml:space="preserve">5 activations</t>
  </si>
  <si>
    <t xml:space="preserve">$28,000/activation</t>
  </si>
  <si>
    <t xml:space="preserve">  Casa malls + festivals + GCC</t>
  </si>
  <si>
    <t xml:space="preserve">  Cohort revenue share</t>
  </si>
  <si>
    <t xml:space="preserve">12 startups</t>
  </si>
  <si>
    <t xml:space="preserve">50% survival</t>
  </si>
  <si>
    <t xml:space="preserve">5% × 3yr</t>
  </si>
  <si>
    <t xml:space="preserve">  Stacking from past cohorts (qualifier)</t>
  </si>
  <si>
    <t xml:space="preserve">  TOTAL BORDERLESS Y4 BASE</t>
  </si>
  <si>
    <t xml:space="preserve">🚀  UPSIDE  PATH  ($500K+ achievable without new physical site)</t>
  </si>
  <si>
    <t xml:space="preserve">Y4 Base</t>
  </si>
  <si>
    <t xml:space="preserve">Y6 Target</t>
  </si>
  <si>
    <t xml:space="preserve">Multiple</t>
  </si>
  <si>
    <t xml:space="preserve">Path</t>
  </si>
  <si>
    <t xml:space="preserve">  Talent Agency</t>
  </si>
  <si>
    <t xml:space="preserve">3.6x</t>
  </si>
  <si>
    <t xml:space="preserve">  200+ active talents · rising commission rates</t>
  </si>
  <si>
    <t xml:space="preserve">  External Education</t>
  </si>
  <si>
    <t xml:space="preserve">  30-40 programs/yr · anchor B2B partnerships</t>
  </si>
  <si>
    <t xml:space="preserve">  Exhibitions/Touring</t>
  </si>
  <si>
    <t xml:space="preserve">4.3x</t>
  </si>
  <si>
    <t xml:space="preserve">  8-15 activations/yr · GCC expansion (Dubai, Riyadh)</t>
  </si>
  <si>
    <t xml:space="preserve">  Cohort Rev Share</t>
  </si>
  <si>
    <t xml:space="preserve">2.4x</t>
  </si>
  <si>
    <t xml:space="preserve">  Cohort stacking + improved survival/collection</t>
  </si>
  <si>
    <t xml:space="preserve">  TOTAL UPSIDE Y6</t>
  </si>
  <si>
    <t xml:space="preserve">◆  STRATEGIC  POSITIONING</t>
  </si>
  <si>
    <t xml:space="preserve">BORDERLESS = ASSET-LIGHT SCALE LAYER. Not a side business — it's the platform extension that scales WITHOUT new CapEx.
  •  Talent Agency converts Academy graduates into ongoing commission revenue (recurring, expanding).
  •  External Education monetizes Pixoul's IP through B2B partnerships and government contracts.
  •  Exhibitions/Touring extends brand reach to malls, festivals, and other cities (Casa, Rabat, Marrakech, GCC).
Cross-pillar synergy: Borderless feeds Sponsorships (bigger audience, premium pricing) and feeds Academy (alumni become instructors).</t>
  </si>
  <si>
    <t xml:space="preserve">  Master Revenue Table · Y1-Y5 by Pillar</t>
  </si>
  <si>
    <t xml:space="preserve">  Toggle-driven · 80% Y1 · 90% Y2 · 100% Y3-5 · Bear/Base/Bull</t>
  </si>
  <si>
    <t xml:space="preserve">◆  PILLAR  Y4 MATURE  REVENUE  (HARDCODED — pulled from pillar files)</t>
  </si>
  <si>
    <t xml:space="preserve">STATIC BASE</t>
  </si>
  <si>
    <t xml:space="preserve">Bear (Y4)</t>
  </si>
  <si>
    <t xml:space="preserve">Base (Y4)</t>
  </si>
  <si>
    <t xml:space="preserve">Bull (Y4)</t>
  </si>
  <si>
    <t xml:space="preserve">Y1 (80%)</t>
  </si>
  <si>
    <t xml:space="preserve">Y2 (90%)</t>
  </si>
  <si>
    <t xml:space="preserve">Y3 mature</t>
  </si>
  <si>
    <t xml:space="preserve">Y5 (105%)</t>
  </si>
  <si>
    <t xml:space="preserve">5-yr Avg</t>
  </si>
  <si>
    <t xml:space="preserve">Method Note</t>
  </si>
  <si>
    <t xml:space="preserve">CUSTOM (Y4)</t>
  </si>
  <si>
    <t xml:space="preserve">Bear/Bull = footfall-only scaling (see Gaming · Scenarios memo)</t>
  </si>
  <si>
    <t xml:space="preserve">Bottoms-up B/B/B (C/D/E columns explicit)</t>
  </si>
  <si>
    <t xml:space="preserve">  YoY Growth %</t>
  </si>
  <si>
    <t xml:space="preserve">◆  REVENUE  MIX  (% of total · Y3 mature · active scenario)</t>
  </si>
  <si>
    <t xml:space="preserve">Y3 Revenue</t>
  </si>
  <si>
    <t xml:space="preserve">✓  LIVE-LINKED  TO  EMBEDDED  PILLAR  SHEETS</t>
  </si>
  <si>
    <t xml:space="preserve">Y4 Bear/Base/Bull values in columns C/D/E are LIVE-LINKED to embedded pillar scenario sheets. When you update a pillar driver, the Master will recalculate automatically.
Live-link cells are marked in DERIVED-GREEN. Each formula references the relevant pillar's scenario sheet TOTAL REVENUE row (e.g., Gaming Hall → '01·G·14·Scenarios'!C17/D17/E17).
Toggle behavior unchanged — Master toggle at '1·Executive Summary'!H7 still drives Y3 column selection (Bear/Base/Bull) cascading across all sheets.</t>
  </si>
  <si>
    <t xml:space="preserve">  Master Cost Table · Direct Costs · EBITDA by Pillar</t>
  </si>
  <si>
    <t xml:space="preserve">  Cost ratios held constant for Bear/Bull · EBITDA = Revenue - Direct Costs</t>
  </si>
  <si>
    <t xml:space="preserve">Cost Behavior:</t>
  </si>
  <si>
    <t xml:space="preserve">SCALES</t>
  </si>
  <si>
    <t xml:space="preserve">⊙ Toggle: "SCALES" = cost moves with revenue (constant margin) | "FIXED" = cost stays at Base (margins compress/expand)</t>
  </si>
  <si>
    <t xml:space="preserve">◆  PILLAR  DIRECT  COSTS  &amp;  EBITDA  (HARDCODED Y4 from pillar files)</t>
  </si>
  <si>
    <t xml:space="preserve">Y4 Direct Cost</t>
  </si>
  <si>
    <t xml:space="preserve">Cost Ratio</t>
  </si>
  <si>
    <t xml:space="preserve">Y1 Cost</t>
  </si>
  <si>
    <t xml:space="preserve">Y2 Cost</t>
  </si>
  <si>
    <t xml:space="preserve">Y3 Cost</t>
  </si>
  <si>
    <t xml:space="preserve">Y3 EBITDA</t>
  </si>
  <si>
    <t xml:space="preserve">Y3 Margin</t>
  </si>
  <si>
    <t xml:space="preserve">ℹ All 9 pillars D7-D15 are LIVE-LINKED to per-pillar Costs/Revenue cells (Apr 2026). Changes to pillar costs auto-flow to Platform EBITDA.</t>
  </si>
  <si>
    <t xml:space="preserve">◆  FIXED  /  VARIABLE  COMMENTARY  (Y4 mature · Base case)</t>
  </si>
  <si>
    <t xml:space="preserve">Approx Fixed %</t>
  </si>
  <si>
    <t xml:space="preserve">  Hardware depreciation + staff + rent are fixed</t>
  </si>
  <si>
    <t xml:space="preserve">  Mostly variable per event (catering/AV)</t>
  </si>
  <si>
    <t xml:space="preserve">  Instructor salaries fixed + rent allocation</t>
  </si>
  <si>
    <t xml:space="preserve">  Staff + rent fixed; tournaments + electricity variable</t>
  </si>
  <si>
    <t xml:space="preserve">  High fixed cost — content + staff + maintenance</t>
  </si>
  <si>
    <t xml:space="preserve">  Mostly pass-through; minimal own cost</t>
  </si>
  <si>
    <t xml:space="preserve">  Staff fixed; ingredients fully variable</t>
  </si>
  <si>
    <t xml:space="preserve">  BD lead fixed; commission + activation variable</t>
  </si>
  <si>
    <t xml:space="preserve">  BD lead fixed; trainers + setup variable</t>
  </si>
  <si>
    <t xml:space="preserve">⚠  EBITDA  RECONCILIATION  NOTE</t>
  </si>
  <si>
    <t xml:space="preserve">EBITDA at Master level is computed as: Revenue × (1 - Cost Ratio). The cost ratio is taken from each pillar's Y4 Base case and held CONSTANT across Bear/Bull scenarios.
This is a SIMPLIFICATION — in reality, Bear cost ratios may worsen (lower revenue absorbs less fixed cost) and Bull may improve (operating leverage). For pillar-specific scenario margin nuance, see each pillar workbook directly.</t>
  </si>
  <si>
    <t xml:space="preserve">◆  GROUP  /  CORPORATE  OVERHEAD  (NOT  allocated to pillars)</t>
  </si>
  <si>
    <t xml:space="preserve">Cost Item</t>
  </si>
  <si>
    <t xml:space="preserve">Annual Cost</t>
  </si>
  <si>
    <t xml:space="preserve">  CEO / GM</t>
  </si>
  <si>
    <t xml:space="preserve">  Executive leadership · group platform</t>
  </si>
  <si>
    <t xml:space="preserve">  Finance / Accounting</t>
  </si>
  <si>
    <t xml:space="preserve">  Group finance · monthly close · audit prep</t>
  </si>
  <si>
    <t xml:space="preserve">  Central Marketing</t>
  </si>
  <si>
    <t xml:space="preserve">Centralized: brand + PR + digital + ALL pillar marketing (was distributed across 7 pillars at $183K + $117K central uplift for 9-pillar scale)</t>
  </si>
  <si>
    <t xml:space="preserve">  Admin / IT / Legal</t>
  </si>
  <si>
    <t xml:space="preserve">  Office admin · IT systems · legal · compliance</t>
  </si>
  <si>
    <t xml:space="preserve">  Software Developer / IT Systems (1 FTE)</t>
  </si>
  <si>
    <t xml:space="preserve">Booking system, member portal, ticketing, POS integrations · alt: outsource $20-25K</t>
  </si>
  <si>
    <t xml:space="preserve">  Operations Manager (1 FTE)</t>
  </si>
  <si>
    <t xml:space="preserve">Day-to-day venue ops across 9 pillars · reports to GM</t>
  </si>
  <si>
    <t xml:space="preserve">  Security — 24/7 (3 rotating guards)</t>
  </si>
  <si>
    <t xml:space="preserve">Required for 6,300 sqm venue with kids + equipment · 3 × ~$13K each</t>
  </si>
  <si>
    <t xml:space="preserve">  Facilities Maintenance (1 FTE)</t>
  </si>
  <si>
    <t xml:space="preserve">Handyman + cleaning supervisor · separate from janitorial outsource</t>
  </si>
  <si>
    <t xml:space="preserve">  Facility Rent (consolidated from pillars)</t>
  </si>
  <si>
    <t xml:space="preserve">Single lease · was distributed across Events/Academy/Esports/Museum/F&amp;B</t>
  </si>
  <si>
    <t xml:space="preserve">  Utilities (electricity / water / internet / HVAC)</t>
  </si>
  <si>
    <t xml:space="preserve">Consolidated · was distributed across all 7 pillars (Sponsorships/Borderless excluded)</t>
  </si>
  <si>
    <t xml:space="preserve">  Franchise Fee (3% of revenue → Pixoul UAE IP holder)</t>
  </si>
  <si>
    <t xml:space="preserve">3% × Y4 mature revenue · auto-updates with revenue · no floor</t>
  </si>
  <si>
    <t xml:space="preserve">  Management Fee (Pixoul UAE oversight)</t>
  </si>
  <si>
    <t xml:space="preserve">Fixed annual management services fee (editable)</t>
  </si>
  <si>
    <t xml:space="preserve">  Payment Processing (centralized merchant fees)</t>
  </si>
  <si>
    <t xml:space="preserve">Consolidated card processing for all pillars (was distributed: F&amp;B $26K, Esports $16K, Museum $11K, Borderless $7K, Subleasing $3K, +Gaming $21K)</t>
  </si>
  <si>
    <t xml:space="preserve">  TOTAL GROUP OVERHEAD</t>
  </si>
  <si>
    <t xml:space="preserve">◆  PLATFORM  EBITDA  BRIDGE  (after Group Overhead)</t>
  </si>
  <si>
    <t xml:space="preserve">  (-) Group Overhead</t>
  </si>
  <si>
    <t xml:space="preserve">  PLATFORM EBITDA  (Pillar EBITDA - Group Overhead)</t>
  </si>
  <si>
    <t xml:space="preserve">  Platform EBITDA Margin (% of Total Revenue)</t>
  </si>
  <si>
    <t xml:space="preserve">MASTER  OPEX  —  Total operating cost view (Pillar Direct Costs + Group Overhead)</t>
  </si>
  <si>
    <t xml:space="preserve">PIXOUL · THE MEDINA LAB · CASABLANCA · v46  ·  All Y4 mature, BASE scenario</t>
  </si>
  <si>
    <t xml:space="preserve">◆  A.  PILLAR  DIRECT  COSTS  (variable + pillar-specific fixed)</t>
  </si>
  <si>
    <t xml:space="preserve">Cost %</t>
  </si>
  <si>
    <t xml:space="preserve">EBITDA %</t>
  </si>
  <si>
    <t xml:space="preserve">  SUBTOTAL — All 9 Pillars (Direct Costs)</t>
  </si>
  <si>
    <t xml:space="preserve">◆  B.  GROUP  OVERHEAD  (corporate functions + facility + parent fees)</t>
  </si>
  <si>
    <t xml:space="preserve">Category</t>
  </si>
  <si>
    <t xml:space="preserve">Y4 Annual ($)</t>
  </si>
  <si>
    <t xml:space="preserve">% of Group OH</t>
  </si>
  <si>
    <t xml:space="preserve">% of Total Revenue</t>
  </si>
  <si>
    <t xml:space="preserve">  Corporate Functions (CEO, Finance, Marketing, Admin, Dev, OpsMgr)</t>
  </si>
  <si>
    <t xml:space="preserve">  Facility &amp; Physical Plant (Rent, Utilities, Security, Maintenance)</t>
  </si>
  <si>
    <t xml:space="preserve">  Transaction &amp; Parent Fees (Payment Proc, Franchise, Mgmt Fee)</t>
  </si>
  <si>
    <t xml:space="preserve">  SUBTOTAL — Group Overhead</t>
  </si>
  <si>
    <t xml:space="preserve">◆  C.  TOTAL  OPERATING  EXPENSES  (Pillar Direct + Group Overhead)</t>
  </si>
  <si>
    <t xml:space="preserve">  Total Pillar Direct Costs</t>
  </si>
  <si>
    <t xml:space="preserve">  Total Group Overhead</t>
  </si>
  <si>
    <t xml:space="preserve">  ◆ TOTAL Y4 OPEX</t>
  </si>
  <si>
    <t xml:space="preserve">  ◆ Total OpEx % of Total Revenue</t>
  </si>
  <si>
    <t xml:space="preserve">  ◆ Y4 Platform EBITDA (Total Revenue - Total OpEx)</t>
  </si>
  <si>
    <t xml:space="preserve">  ◆ Y4 Platform EBITDA Margin</t>
  </si>
  <si>
    <t xml:space="preserve">◆  D.  8-YEAR  OPEX  TRAJECTORY  (linked to Consolidated P&amp;L)</t>
  </si>
  <si>
    <t xml:space="preserve">  Total Pillar Direct Costs (negative)</t>
  </si>
  <si>
    <t xml:space="preserve">  Group Overhead (negative)</t>
  </si>
  <si>
    <t xml:space="preserve">  ◆ TOTAL OPEX (Y1-Y10)</t>
  </si>
  <si>
    <t xml:space="preserve">  Total OpEx % of Revenue</t>
  </si>
  <si>
    <t xml:space="preserve">  ◆ Platform EBITDA (Revenue + OpEx since OpEx is negative)</t>
  </si>
  <si>
    <t xml:space="preserve">⊙ This tab is the SINGLE TOP-LEVEL VIEW of total operating expenses. All values flow live from Master Cost (pillar costs + group overhead detail), Master Revenue (topline), and Consolidated P&amp;L (8-year scaling). Editing here does NOT change the model — edit the source sheets.</t>
  </si>
  <si>
    <t xml:space="preserve">⊙ DEFINITIONS: "Pillar Direct Costs" = costs specifically attributable to a pillar (staff, COGS, equipment, pillar marketing). "Group Overhead" = shared costs across all 9 pillars (CEO, finance, central marketing, facility rent, utilities, security, parent fees, payment processing).</t>
  </si>
  <si>
    <t xml:space="preserve">⊙ NEW v46: Group Overhead expanded with 4 institutional roles ($125K) — Software Developer, Operations Manager, Security 24/7, Facilities Maintenance. F&amp;B revenue rebuilt with conservative MENA benchmarks (CFC 120/day, Online 60/day, Events catering 70% attribution).</t>
  </si>
  <si>
    <t xml:space="preserve">⊙ MARKETING ALLOCATION (informational): The $300K Central Marketing line in Group Overhead is implicitly allocated across pillars roughly proportional to revenue/sales effort. Indicative split: Academy ~$80K (B2B sales-driven), Events Hall ~$40K (B2B corporate sales), F&amp;B ~$60K (Glovo/Jumia + brand), Gaming ~$40K (family/youth campaigns), Esports ~$30K (community/tournament marketing), Museum ~$25K (school + tourism), Borderless ~$15K (touring promo), Sponsorships ~$10K (relationship-based). Total ~$300K matches Master Cost C44.</t>
  </si>
  <si>
    <t xml:space="preserve">⊙ NEW v49: Events Hall audited — EVA at 35% utilization (was 100%), added contract labor + sales commission + maintenance reserve. Y4 EBITDA $552K → $354K (margin 71% → 51%, industry-appropriate).</t>
  </si>
  <si>
    <t xml:space="preserve">◆  E.  RECONCILIATION  NOTE  —  Master OpEx Y4 vs Consolidated 8Yr P&amp;L Y4</t>
  </si>
  <si>
    <t xml:space="preserve">⚠ Two different Y4 cost figures exist in this model. They are BOTH correct — they measure different things:</t>
  </si>
  <si>
    <t xml:space="preserve">   ① Master OpEx Y4 (this tab, row 7-15 column D)  =  NOMINAL mature direct costs (no inflation applied)</t>
  </si>
  <si>
    <t xml:space="preserve">   ② Consolidated 8Yr P&amp;L Y4 (row 19-27 column F)  =  INFLATION-COMPOUNDED Y4 costs (3 years of 3% inflation × nominal)</t>
  </si>
  <si>
    <t xml:space="preserve">   Example (Subleasing):</t>
  </si>
  <si>
    <t xml:space="preserve">     Master OpEx Y4 cost D12 = $27,600 (nominal — what costs would be if running at Y1 prices)</t>
  </si>
  <si>
    <t xml:space="preserve">     8Yr P&amp;L Y4 cost F24 = $30,159 (= $27,600 × 1.03³ = inflation-compounded by Y4)</t>
  </si>
  <si>
    <t xml:space="preserve">   Why both exist:</t>
  </si>
  <si>
    <t xml:space="preserve">     Master OpEx provides the steady-state mature unit economics view (used in pillar audits, EBITDA margin analysis, sensitivity).</t>
  </si>
  <si>
    <t xml:space="preserve">     8Yr P&amp;L provides the cash-realistic forecast view (used in IRR, NPV, debt service coverage, exit valuation).</t>
  </si>
  <si>
    <t xml:space="preserve">   For investor presentations: cite Master OpEx for unit economics and pillar margins; cite 8Yr P&amp;L for cash projections and returns.</t>
  </si>
  <si>
    <t xml:space="preserve">   PwC / institutional reviewers: this reconciliation is intentional and standard practice (steady-state vs cash-realized timing).</t>
  </si>
  <si>
    <t xml:space="preserve">   ◆ Live reconciliation check (Subleasing Y4):</t>
  </si>
  <si>
    <t xml:space="preserve">     Master OpEx Y4 nominal</t>
  </si>
  <si>
    <t xml:space="preserve">     8Yr P&amp;L Y4 inflation-compounded</t>
  </si>
  <si>
    <t xml:space="preserve">     Inflation factor (1.03^3)</t>
  </si>
  <si>
    <t xml:space="preserve">     Recompute: nominal × factor</t>
  </si>
  <si>
    <t xml:space="preserve">     Check: matches 8Yr P&amp;L Y4 ✓</t>
  </si>
  <si>
    <t xml:space="preserve">  CONSOLIDATED  P&amp;L  —  8-Year forecast (Y1-Y10)</t>
  </si>
  <si>
    <t xml:space="preserve">Revenue → Costs → EBITDA → D&amp;A → EBIT → Interest → Tax → Net Income · McKinsey-grade integrated statement</t>
  </si>
  <si>
    <t xml:space="preserve">◆  REVENUE  PER  PILLAR</t>
  </si>
  <si>
    <t xml:space="preserve">  ◆  TOTAL  REVENUE</t>
  </si>
  <si>
    <t xml:space="preserve">◆  DIRECT  COSTS  PER  PILLAR  (Cost of Revenue)</t>
  </si>
  <si>
    <t xml:space="preserve">  ◆  TOTAL  DIRECT  COSTS</t>
  </si>
  <si>
    <t xml:space="preserve">  GROSS  PROFIT  (Pillar-level EBITDA)</t>
  </si>
  <si>
    <t xml:space="preserve">    Gross margin %</t>
  </si>
  <si>
    <t xml:space="preserve">◆  GROUP  OVERHEAD  (corporate level)</t>
  </si>
  <si>
    <t xml:space="preserve">  Total Group Overhead (CEO/Finance/Marketing/Admin/Rent/Utilities/Fees)</t>
  </si>
  <si>
    <t xml:space="preserve">  ◆  EBITDA</t>
  </si>
  <si>
    <t xml:space="preserve">    EBITDA margin %</t>
  </si>
  <si>
    <t xml:space="preserve">◆  DEPRECIATION  &amp;  AMORTIZATION</t>
  </si>
  <si>
    <t xml:space="preserve">  Total D&amp;A (per Schedules tab)</t>
  </si>
  <si>
    <t xml:space="preserve">  ◆  EBIT  (Operating Income)</t>
  </si>
  <si>
    <t xml:space="preserve">◆  INTEREST  EXPENSE</t>
  </si>
  <si>
    <t xml:space="preserve">  Equipment Loan interest</t>
  </si>
  <si>
    <t xml:space="preserve">  EBT  (Earnings Before Tax)</t>
  </si>
  <si>
    <t xml:space="preserve">◆  TAX  (Morocco corporate 15.5%)</t>
  </si>
  <si>
    <t xml:space="preserve">  Corporate tax @ 15.5%</t>
  </si>
  <si>
    <t xml:space="preserve">  ◆  NET  INCOME</t>
  </si>
  <si>
    <t xml:space="preserve">    Net margin %</t>
  </si>
  <si>
    <t xml:space="preserve">  CONSOLIDATED  8-YEAR  P&amp;L  —  Revenue · Costs · EBITDA · D&amp;A · Interest · Tax · Net Income</t>
  </si>
  <si>
    <t xml:space="preserve">  All figures in USD · Live links to Master Revenue, Master Cost, CapEx · Tax 15.5% Morocco · Equipment Loan 7% × 7yr</t>
  </si>
  <si>
    <t xml:space="preserve">◆  REVENUE  BY  PILLAR</t>
  </si>
  <si>
    <t xml:space="preserve">◆  PILLAR  DIRECT  COSTS  (variable + fixed allocated to each pillar)</t>
  </si>
  <si>
    <t xml:space="preserve">  (-) Gaming Hall</t>
  </si>
  <si>
    <t xml:space="preserve">  (-) Events Hall</t>
  </si>
  <si>
    <t xml:space="preserve">  (-) Academy</t>
  </si>
  <si>
    <t xml:space="preserve">  (-) Esports Lounge</t>
  </si>
  <si>
    <t xml:space="preserve">  (-) Museum</t>
  </si>
  <si>
    <t xml:space="preserve">  (-) Subleasing</t>
  </si>
  <si>
    <t xml:space="preserve">  (-) F&amp;B</t>
  </si>
  <si>
    <t xml:space="preserve">  (-) Sponsorships</t>
  </si>
  <si>
    <t xml:space="preserve">  (-) Borderless</t>
  </si>
  <si>
    <t xml:space="preserve">  ◆  TOTAL  PILLAR  DIRECT  COSTS</t>
  </si>
  <si>
    <t xml:space="preserve">  ◆  PILLAR  EBITDA  (Gross Contribution from operations)</t>
  </si>
  <si>
    <t xml:space="preserve">◆  GROUP  /  CORPORATE  OVERHEAD</t>
  </si>
  <si>
    <t xml:space="preserve">  (-) Group Overhead (CEO, Finance, Marketing, Admin, Rent, Utilities, Franchise, Mgmt fees)</t>
  </si>
  <si>
    <t xml:space="preserve">  ◆  PLATFORM  EBITDA  (after Group Overhead)</t>
  </si>
  <si>
    <t xml:space="preserve">  Platform EBITDA margin (% of revenue)</t>
  </si>
  <si>
    <t xml:space="preserve">◆  DEPRECIATION  &amp;  AMORTIZATION  (link from Schedules tab)</t>
  </si>
  <si>
    <t xml:space="preserve">  (-) Total D&amp;A</t>
  </si>
  <si>
    <t xml:space="preserve">  ◆  EBIT  (Operating Profit)</t>
  </si>
  <si>
    <t xml:space="preserve">   (-) Interest Expense (Equipment Loan + Working Capital Facility)</t>
  </si>
  <si>
    <t xml:space="preserve">  (-) Corporate Tax  (15.5% Morocco standard · 0% Y1-Y5 SMIT CT holiday)</t>
  </si>
  <si>
    <t xml:space="preserve">  CONSOLIDATED  8-YEAR  CASH  FLOW  —  Operating · Investing · Financing</t>
  </si>
  <si>
    <t xml:space="preserve">  Indirect method · Y0 includes equity + debt drawdowns + initial CapEx · Maintenance capex 2% of revenue annually</t>
  </si>
  <si>
    <t xml:space="preserve">Cash Flow Item</t>
  </si>
  <si>
    <t xml:space="preserve">◆  OPERATING  ACTIVITIES</t>
  </si>
  <si>
    <t xml:space="preserve">  Net Income</t>
  </si>
  <si>
    <t xml:space="preserve">  (+) Depreciation &amp; Amortization (non-cash)</t>
  </si>
  <si>
    <t xml:space="preserve">  (+/-) Working Capital changes (estimate: minimal)</t>
  </si>
  <si>
    <t xml:space="preserve">  ◆  CASH  FROM  OPERATIONS</t>
  </si>
  <si>
    <t xml:space="preserve">◆  INVESTING  ACTIVITIES</t>
  </si>
  <si>
    <t xml:space="preserve">   (-) Initial Cash CapEx investment (Y0)</t>
  </si>
  <si>
    <t xml:space="preserve">  (-) Maintenance CapEx (2% of revenue)</t>
  </si>
  <si>
    <t xml:space="preserve">  ◆  CASH  FROM  INVESTING</t>
  </si>
  <si>
    <t xml:space="preserve">◆  FINANCING  ACTIVITIES</t>
  </si>
  <si>
    <t xml:space="preserve">  Equity capital raised (Round 1)</t>
  </si>
  <si>
    <t xml:space="preserve">   Non-dilutive contributions (Govt + Sponsorships + Pre-launch)</t>
  </si>
  <si>
    <t xml:space="preserve">   Lessor contribution (non-cash, see BS)</t>
  </si>
  <si>
    <t xml:space="preserve">  Debt drawdowns (Equipment Loan + Suppliers + Other)</t>
  </si>
  <si>
    <t xml:space="preserve">  (-) Debt principal repayments</t>
  </si>
  <si>
    <t xml:space="preserve">  ◆  CASH  FROM  FINANCING</t>
  </si>
  <si>
    <t xml:space="preserve">  ◆  NET  CHANGE  IN  CASH</t>
  </si>
  <si>
    <t xml:space="preserve">  Opening cash balance</t>
  </si>
  <si>
    <t xml:space="preserve">  ◆  CLOSING  CASH  BALANCE</t>
  </si>
  <si>
    <t xml:space="preserve">  CONSOLIDATED  8-YEAR  BALANCE  SHEET  —  Assets · Liabilities · Equity (year-end snapshot)</t>
  </si>
  <si>
    <t xml:space="preserve">Balance Sheet Item</t>
  </si>
  <si>
    <t xml:space="preserve">◆  ASSETS</t>
  </si>
  <si>
    <t xml:space="preserve">  Cash &amp; equivalents</t>
  </si>
  <si>
    <t xml:space="preserve">  Working capital (net of AR/AP — assumed 0 change)</t>
  </si>
  <si>
    <t xml:space="preserve">   Gross Fixed Assets (Total Project Value: Cash CapEx + Contributed Lessor)</t>
  </si>
  <si>
    <t xml:space="preserve">  (-) Accumulated D&amp;A (cumulative)</t>
  </si>
  <si>
    <t xml:space="preserve">  ◆  Net Fixed Assets</t>
  </si>
  <si>
    <t xml:space="preserve">  ◆  TOTAL  ASSETS</t>
  </si>
  <si>
    <t xml:space="preserve">◆  LIABILITIES</t>
  </si>
  <si>
    <t xml:space="preserve">  Equipment Loan ($2.77M @ 7% × 7yr)</t>
  </si>
  <si>
    <t xml:space="preserve">  Suppliers Debt (3yr, 0% interest)</t>
  </si>
  <si>
    <t xml:space="preserve">  Working Capital Facility ($587.2K @ 8% × 5yr)</t>
  </si>
  <si>
    <t xml:space="preserve">  ◆  TOTAL  LIABILITIES</t>
  </si>
  <si>
    <t xml:space="preserve">◆  EQUITY</t>
  </si>
  <si>
    <t xml:space="preserve">  Paid-in capital (Round 1 + Sponsorship + Pre-launching profits)</t>
  </si>
  <si>
    <t xml:space="preserve">  Capital reserves (Grants + Lessor contribution)</t>
  </si>
  <si>
    <t xml:space="preserve">  Pre-launch contribution</t>
  </si>
  <si>
    <t xml:space="preserve">  Retained Earnings (cumulative Net Income)</t>
  </si>
  <si>
    <t xml:space="preserve">  ◆  TOTAL  EQUITY</t>
  </si>
  <si>
    <t xml:space="preserve">  ◆  TOTAL  LIABILITIES  +  EQUITY</t>
  </si>
  <si>
    <t xml:space="preserve">  Check: Total Assets − (Liabilities + Equity)</t>
  </si>
  <si>
    <t xml:space="preserve">  D&amp;A  SCHEDULE  —  Depreciation per asset class</t>
  </si>
  <si>
    <t xml:space="preserve">Straight-line depreciation by useful life · Year 1 = full year deprec · Auto-tracks CapEx subtotals</t>
  </si>
  <si>
    <t xml:space="preserve">◆  ASSET  BASIS  (Y0 CapEx)</t>
  </si>
  <si>
    <t xml:space="preserve">  Lessor (10-year SL)</t>
  </si>
  <si>
    <t xml:space="preserve">  Fit out (10-year SL)</t>
  </si>
  <si>
    <t xml:space="preserve">  Gaming Machines (5-year SL)</t>
  </si>
  <si>
    <t xml:space="preserve">  Equipment (5-year SL)</t>
  </si>
  <si>
    <t xml:space="preserve">  Software &amp; Licenses (3-year SL)</t>
  </si>
  <si>
    <t xml:space="preserve">  Pre-Launch (expensed Y1, not depreciated)</t>
  </si>
  <si>
    <t xml:space="preserve">◆  ANNUAL  D&amp;A  PER  ASSET  CLASS</t>
  </si>
  <si>
    <t xml:space="preserve">  Lessor depreciation</t>
  </si>
  <si>
    <t xml:space="preserve">  Fit out depreciation</t>
  </si>
  <si>
    <t xml:space="preserve">  Gaming Machines depreciation</t>
  </si>
  <si>
    <t xml:space="preserve">  Equipment depreciation</t>
  </si>
  <si>
    <t xml:space="preserve">  Software amortization</t>
  </si>
  <si>
    <t xml:space="preserve">  Pre-launch expense (Y1 only)</t>
  </si>
  <si>
    <t xml:space="preserve">  ◆  TOTAL  D&amp;A</t>
  </si>
  <si>
    <t xml:space="preserve">◆  NET  BOOK  VALUE  (PP&amp;E ending balance)</t>
  </si>
  <si>
    <t xml:space="preserve">  Initial PP&amp;E (excl. pre-launch)</t>
  </si>
  <si>
    <t xml:space="preserve">  PP&amp;E Net Book Value (end of year)</t>
  </si>
  <si>
    <t xml:space="preserve">  DEBT  SCHEDULE  —  Equipment Loan + Suppliers Debt amortization</t>
  </si>
  <si>
    <t xml:space="preserve">  Loan principal at Y0 (Equipment × 70%)</t>
  </si>
  <si>
    <t xml:space="preserve">  Beginning balance</t>
  </si>
  <si>
    <t xml:space="preserve">  Interest expense (7%)</t>
  </si>
  <si>
    <t xml:space="preserve">  Principal repayment</t>
  </si>
  <si>
    <t xml:space="preserve">  Ending balance</t>
  </si>
  <si>
    <t xml:space="preserve">  TOTAL DEBT SERVICE (interest + principal)</t>
  </si>
  <si>
    <t xml:space="preserve">◆  SUPPLIERS  DEBT  ($1.50M / 3-year, no interest)</t>
  </si>
  <si>
    <t xml:space="preserve">  Initial supplier credit (Y0)</t>
  </si>
  <si>
    <t xml:space="preserve">◆  TOTAL  DEBT  POSITION</t>
  </si>
  <si>
    <t xml:space="preserve">  Total ending debt balance</t>
  </si>
  <si>
    <t xml:space="preserve">  Total annual debt service</t>
  </si>
  <si>
    <t xml:space="preserve">◆  C.  INSTITUTIONAL  DEBT  DEFENSE  LAYER  (Lender-grade covenant metrics)</t>
  </si>
  <si>
    <t xml:space="preserve">Covenant / Ratio</t>
  </si>
  <si>
    <t xml:space="preserve">Threshold</t>
  </si>
  <si>
    <t xml:space="preserve">  EBITDA (Platform, from Cons 8Yr P&amp;L)</t>
  </si>
  <si>
    <t xml:space="preserve">  Total annual debt service (Interest + Principal)</t>
  </si>
  <si>
    <t xml:space="preserve">  Interest expense (Equipment Loan)</t>
  </si>
  <si>
    <t xml:space="preserve">  ◆  DSCR  (Debt Service Coverage Ratio)  =  EBITDA / Debt Service</t>
  </si>
  <si>
    <t xml:space="preserve">  ≥ 1.25×</t>
  </si>
  <si>
    <t xml:space="preserve">  Lender minimum</t>
  </si>
  <si>
    <t xml:space="preserve">  ◆  ICR  (Interest Coverage Ratio)  =  EBITDA / Interest Expense</t>
  </si>
  <si>
    <t xml:space="preserve">  ≥ 3.0×</t>
  </si>
  <si>
    <t xml:space="preserve">  Lender comfort</t>
  </si>
  <si>
    <t xml:space="preserve">  ◆  Debt / EBITDA  (leverage ratio)</t>
  </si>
  <si>
    <t xml:space="preserve">  ≤ 3.0×</t>
  </si>
  <si>
    <t xml:space="preserve">  Standard cap</t>
  </si>
  <si>
    <t xml:space="preserve">  ◆  Operating Cash (from Cons 8Yr CF)</t>
  </si>
  <si>
    <t xml:space="preserve">  Min cash covenant ($500K threshold)</t>
  </si>
  <si>
    <t xml:space="preserve">  ≥ $500K</t>
  </si>
  <si>
    <t xml:space="preserve">  Cash floor</t>
  </si>
  <si>
    <t xml:space="preserve">  ◆  Cash buffer vs covenant</t>
  </si>
  <si>
    <t xml:space="preserve">ⓘ DSCR (Debt Service Coverage Ratio) = EBITDA ÷ Total Debt Service · Lender minimum 1.25× · Green = compliant, Red = breach</t>
  </si>
  <si>
    <t xml:space="preserve">ⓘ ICR (Interest Coverage Ratio) = EBITDA ÷ Interest Expense · Standard comfort 3.0× · Higher = safer</t>
  </si>
  <si>
    <t xml:space="preserve">ⓘ Debt / EBITDA = Leverage ratio · Investment-grade: ≤ 3.0× · Project finance: ≤ 5.0×</t>
  </si>
  <si>
    <t xml:space="preserve">ⓘ Min Cash Covenant = Operating cash floor required by lender · $500K threshold standard for facilities of this size</t>
  </si>
  <si>
    <t xml:space="preserve">◆  D.  DEBT  SENSITIVITY  MATRIX  ·  DSCR Y1 @ Variable Interest Rate × EBITDA Stress</t>
  </si>
  <si>
    <t xml:space="preserve">EBITDA stress →</t>
  </si>
  <si>
    <t xml:space="preserve">Interest Rate:</t>
  </si>
  <si>
    <t xml:space="preserve">  Bear -30%</t>
  </si>
  <si>
    <t xml:space="preserve">  Stress -20%</t>
  </si>
  <si>
    <t xml:space="preserve">  Mild -10%</t>
  </si>
  <si>
    <t xml:space="preserve">  BASE</t>
  </si>
  <si>
    <t xml:space="preserve">  Upside +10%</t>
  </si>
  <si>
    <t xml:space="preserve">◆  E.  REFINANCE  ASSUMPTION  LAYER  ·  Y3 Conversion to long-term facility</t>
  </si>
  <si>
    <t xml:space="preserve">  Equipment Loan refinance trigger year</t>
  </si>
  <si>
    <t xml:space="preserve">  Post-refi term (years)</t>
  </si>
  <si>
    <t xml:space="preserve">  Post-refi rate (institutional)</t>
  </si>
  <si>
    <t xml:space="preserve">  Y3 outstanding balance (would be refinanced)</t>
  </si>
  <si>
    <t xml:space="preserve">  Annual debt service post-refi (Y4-Y10)</t>
  </si>
  <si>
    <t xml:space="preserve">  DSCR Y4 post-refi (illustrative)</t>
  </si>
  <si>
    <t xml:space="preserve">ⓘ Refinance Y3 would convert short-term Equipment Loan ($792K residual at end Y3, but here using full Y0 reference) to 7-year facility at 5.5% institutional rate. Improves DSCR materially by spreading repayment. Suppliers Debt remains as originally structured (already paid by Y3).</t>
  </si>
  <si>
    <t xml:space="preserve">◆  F.  DSCR  MITIGATION  PLAN  ·  Y1 Breach Coverage (1.15× vs 1.25× minimum)</t>
  </si>
  <si>
    <t xml:space="preserve">Mitigation Lever</t>
  </si>
  <si>
    <t xml:space="preserve">Y1 Impact</t>
  </si>
  <si>
    <t xml:space="preserve">Mechanism</t>
  </si>
  <si>
    <t xml:space="preserve">  Y1 EBITDA (BASE)</t>
  </si>
  <si>
    <t xml:space="preserve">  Y1 Total Debt Service</t>
  </si>
  <si>
    <t xml:space="preserve">  Y1 DSCR (raw)</t>
  </si>
  <si>
    <t xml:space="preserve">  Lever 1: Suppliers Debt 0% interest absorbs $500K/yr</t>
  </si>
  <si>
    <t xml:space="preserve">  Suppliers Debt is interest-free; principal-only burden</t>
  </si>
  <si>
    <t xml:space="preserve">  Y1 DSCR excl Suppliers</t>
  </si>
  <si>
    <t xml:space="preserve">  Lever 2: Working Capital Facility (WCF) drawdown</t>
  </si>
  <si>
    <t xml:space="preserve">  $587K WCF available for Y1 liquidity bridge</t>
  </si>
  <si>
    <t xml:space="preserve">  Lever 3: Corporate Tax (CT) Holiday Y1-Y5 (cash savings)</t>
  </si>
  <si>
    <t xml:space="preserve">  Tax that WOULD be paid → instead retained as cash</t>
  </si>
  <si>
    <t xml:space="preserve">  ◆ Effective Y1 DSCR (with mitigations stacked)</t>
  </si>
  <si>
    <t xml:space="preserve">  EBITDA + WCF draw + CT savings, divided by interest-bearing debt service only</t>
  </si>
  <si>
    <t xml:space="preserve">ⓘ Lender presentation: Y1 covenant compliance achieved via (1) Suppliers Debt interest-free structure, (2) Working Capital Facility (WCF) availability, and (3) Corporate Tax (CT) holiday cash retention. Y2 onwards reverts to standalone DSCR which is already compliant (≥ 1.45×).</t>
  </si>
  <si>
    <t xml:space="preserve">  Sensitivity Analysis · Key Drivers ±20% · Revenue + EBITDA impact</t>
  </si>
  <si>
    <t xml:space="preserve">  Per-pillar one-way sensitivity · LIVE-LINKED to Master Revenue and Master Cost</t>
  </si>
  <si>
    <t xml:space="preserve">◆  ECOSYSTEM-LEVEL  SENSITIVITY  (each row varies ONE driver, others at Base)</t>
  </si>
  <si>
    <t xml:space="preserve">Driver Lever</t>
  </si>
  <si>
    <t xml:space="preserve">-20%</t>
  </si>
  <si>
    <t xml:space="preserve">-10%</t>
  </si>
  <si>
    <t xml:space="preserve">+10%</t>
  </si>
  <si>
    <t xml:space="preserve">+20%</t>
  </si>
  <si>
    <t xml:space="preserve">Sensitivity Notes</t>
  </si>
  <si>
    <t xml:space="preserve">  Gaming Hall footfall</t>
  </si>
  <si>
    <t xml:space="preserve">  Pillar 01 — affects ticketing + F&amp;B spillover</t>
  </si>
  <si>
    <t xml:space="preserve">  Events Hall bookings</t>
  </si>
  <si>
    <t xml:space="preserve">  Pillar 02 — highest absolute $ leverage</t>
  </si>
  <si>
    <t xml:space="preserve">  Academy enrollment</t>
  </si>
  <si>
    <t xml:space="preserve">  Pillar 03 — recurring + corporate B2B</t>
  </si>
  <si>
    <t xml:space="preserve">  Esports utilization</t>
  </si>
  <si>
    <t xml:space="preserve">  Pillar 04 — walk-in + memberships</t>
  </si>
  <si>
    <t xml:space="preserve">  Museum visitors/day</t>
  </si>
  <si>
    <t xml:space="preserve">  Pillar 05 — ticket + premium experiences</t>
  </si>
  <si>
    <t xml:space="preserve">  Subleasing performance</t>
  </si>
  <si>
    <t xml:space="preserve">  Pillar 06 — pass-through stability</t>
  </si>
  <si>
    <t xml:space="preserve">  F&amp;B conversion</t>
  </si>
  <si>
    <t xml:space="preserve">  Pillar 07 — biggest $ stream</t>
  </si>
  <si>
    <t xml:space="preserve">  Sponsorship sales</t>
  </si>
  <si>
    <t xml:space="preserve">  Pillar 08 — high margin, high leverage</t>
  </si>
  <si>
    <t xml:space="preserve">  Borderless execution</t>
  </si>
  <si>
    <t xml:space="preserve">  Pillar 09 — talent + B2B + touring</t>
  </si>
  <si>
    <t xml:space="preserve">◆  PLATFORM  EBITDA  SENSITIVITY  (Y4 mature · ±10/20% per pillar · Group OH constant)</t>
  </si>
  <si>
    <t xml:space="preserve">◆  HIGH-LEVERAGE  ANALYSIS  (which pillars move EBITDA most at ±10%)</t>
  </si>
  <si>
    <t xml:space="preserve">EBITDA Δ at +10%</t>
  </si>
  <si>
    <t xml:space="preserve">EBITDA Δ at -10%</t>
  </si>
  <si>
    <t xml:space="preserve">Leverage Rank</t>
  </si>
  <si>
    <t xml:space="preserve">Abs Δ (helper)</t>
  </si>
  <si>
    <t xml:space="preserve">◆  METHODOLOGY</t>
  </si>
  <si>
    <t xml:space="preserve">⊙ Each row varies ONE pillar revenue by column %, all others held at Base. Total = D17 + Pillar × (mult-1).</t>
  </si>
  <si>
    <t xml:space="preserve">⊙ EBITDA sensitivity: pillar cost ratio holds (variable costs scale, fixed costs remain). Group Overhead constant.</t>
  </si>
  <si>
    <t xml:space="preserve">⊙ Leverage Rank: pillars ranked 1 (most sensitive) to 9 (least) by absolute EBITDA Δ at ±10%.</t>
  </si>
  <si>
    <t xml:space="preserve">⊙ Live-linked to Master Revenue and Master Cost. Changes propagate automatically.</t>
  </si>
  <si>
    <t xml:space="preserve">⚠ One-way sensitivity. For two-way scenarios (Revenue × Cost together), see Scenarios + Bear Case + Survival.</t>
  </si>
  <si>
    <t xml:space="preserve">◆  C.  INSTITUTIONAL  TORNADO  ·  Headline IRR Sensitivity to Key Variables (Y3 BVC IPO base case)</t>
  </si>
  <si>
    <t xml:space="preserve">Variable</t>
  </si>
  <si>
    <t xml:space="preserve">Low Case</t>
  </si>
  <si>
    <t xml:space="preserve">Base Case</t>
  </si>
  <si>
    <t xml:space="preserve">High Case</t>
  </si>
  <si>
    <t xml:space="preserve">IRR @ Low</t>
  </si>
  <si>
    <t xml:space="preserve">IRR @ Base</t>
  </si>
  <si>
    <t xml:space="preserve">IRR @ High</t>
  </si>
  <si>
    <t xml:space="preserve">IRR Range (High - Low)</t>
  </si>
  <si>
    <t xml:space="preserve">  Exit Multiple (×)</t>
  </si>
  <si>
    <t xml:space="preserve">12×</t>
  </si>
  <si>
    <t xml:space="preserve">16×</t>
  </si>
  <si>
    <t xml:space="preserve">20×</t>
  </si>
  <si>
    <t xml:space="preserve">  Revenue per pillar (±10%)</t>
  </si>
  <si>
    <t xml:space="preserve">  Debt rate (institutional)</t>
  </si>
  <si>
    <t xml:space="preserve">5.5%</t>
  </si>
  <si>
    <t xml:space="preserve">7.0%</t>
  </si>
  <si>
    <t xml:space="preserve">9.0%</t>
  </si>
  <si>
    <t xml:space="preserve">  CapEx ±10%</t>
  </si>
  <si>
    <t xml:space="preserve">  CT Holiday years (Y1-Yx)</t>
  </si>
  <si>
    <t xml:space="preserve">3yrs</t>
  </si>
  <si>
    <t xml:space="preserve">5yrs</t>
  </si>
  <si>
    <t xml:space="preserve">7yrs</t>
  </si>
  <si>
    <t xml:space="preserve">  Group Overhead ±10%</t>
  </si>
  <si>
    <t xml:space="preserve">  Y1 Ramp (utilization)</t>
  </si>
  <si>
    <t xml:space="preserve">70%</t>
  </si>
  <si>
    <t xml:space="preserve">80%</t>
  </si>
  <si>
    <t xml:space="preserve">90%</t>
  </si>
  <si>
    <t xml:space="preserve">  WACC for NPV</t>
  </si>
  <si>
    <t xml:space="preserve">10.5%</t>
  </si>
  <si>
    <t xml:space="preserve">12.5%</t>
  </si>
  <si>
    <t xml:space="preserve">14.5%</t>
  </si>
  <si>
    <t xml:space="preserve">  Sponsorship close rate</t>
  </si>
  <si>
    <t xml:space="preserve">x0.7</t>
  </si>
  <si>
    <t xml:space="preserve">x1.3</t>
  </si>
  <si>
    <t xml:space="preserve">  F&amp;B kitchen conversion</t>
  </si>
  <si>
    <t xml:space="preserve">x0.85</t>
  </si>
  <si>
    <t xml:space="preserve">x1.15</t>
  </si>
  <si>
    <t xml:space="preserve">ⓘ Sorted by IRR sensitivity magnitude. Largest deal-makers/breakers TOP — Exit Multiple has the widest single-variable impact (10.5% IRR at 12× vs 21.8% IRR at 20×). Revenue ±10% drives ±4-5% IRR. Debt rate variation is inverse-impact (higher rate = lower IRR, as expected). CT Holiday extension to 7yrs provides modest upside.</t>
  </si>
  <si>
    <t xml:space="preserve">  NPV  SENSITIVITY  TORNADO  —  ±20%  Driver Shocks at 12.5% WACC</t>
  </si>
  <si>
    <t xml:space="preserve">  Tests which drivers move NPV most · Sorted by impact · Project NPV @ 12.5% WACC, 10-yr forecast + terminal value</t>
  </si>
  <si>
    <t xml:space="preserve">◆  A.  BASE  NPV  CALCULATION  (project view, 12.5% WACC)</t>
  </si>
  <si>
    <t xml:space="preserve">  Initial Cash CapEx (Y0 outflow)</t>
  </si>
  <si>
    <t xml:space="preserve">  WACC (discount rate)</t>
  </si>
  <si>
    <t xml:space="preserve">⊙ Project WACC for FEC / experiential</t>
  </si>
  <si>
    <t xml:space="preserve">  Terminal growth rate (g)</t>
  </si>
  <si>
    <t xml:space="preserve">⊙ Long-run inflation / GDP growth</t>
  </si>
  <si>
    <t xml:space="preserve">  Effective tax rate (Morocco IS)</t>
  </si>
  <si>
    <t xml:space="preserve">⊙ 15.5% blended Morocco corporate tax</t>
  </si>
  <si>
    <t xml:space="preserve">  Maintenance CapEx (% of revenue)</t>
  </si>
  <si>
    <t xml:space="preserve">⊙ 2% recurring CapEx for refresh</t>
  </si>
  <si>
    <t xml:space="preserve">◆  B.  ANNUAL  FREE  CASH  FLOW  BUILD  (Y1-Y10)</t>
  </si>
  <si>
    <t xml:space="preserve">  Platform EBITDA (from Exit &amp; Returns)</t>
  </si>
  <si>
    <t xml:space="preserve">  (-) Tax (15.5% of EBITDA, simplified)</t>
  </si>
  <si>
    <t xml:space="preserve">  ◆  FREE CASH FLOW (post-tax, post-maint capex)</t>
  </si>
  <si>
    <t xml:space="preserve">  Discount factor (1/(1+WACC)^year)</t>
  </si>
  <si>
    <t xml:space="preserve">  Present Value (FCF × discount)</t>
  </si>
  <si>
    <t xml:space="preserve">◆  C.  NPV  CALCULATION  SUMMARY</t>
  </si>
  <si>
    <t xml:space="preserve">  Sum of discounted FCF (Y1-Y10)</t>
  </si>
  <si>
    <t xml:space="preserve">  Terminal Value (Gordon: Y10 FCF × (1+g) / (WACC-g))</t>
  </si>
  <si>
    <t xml:space="preserve">  Present Value of Terminal Value</t>
  </si>
  <si>
    <t xml:space="preserve">  (-) Initial CapEx (Y0)</t>
  </si>
  <si>
    <t xml:space="preserve">  ◆  PROJECT  NPV  @ 12.5% WACC</t>
  </si>
  <si>
    <t xml:space="preserve">⊙ Sum of: PV of Y1-Y10 cash flows + PV of terminal value − initial CapEx</t>
  </si>
  <si>
    <t xml:space="preserve">◆  D.  SENSITIVITY  TORNADO  —  ±20%  shock per driver, sorted by NPV impact</t>
  </si>
  <si>
    <t xml:space="preserve">  Each driver shocked ±20% from base · ΔNPV computed via ΔEBITDA × (1-tax) × PV multiplier · Sorted descending by absolute impact</t>
  </si>
  <si>
    <t xml:space="preserve">Contribution Margin</t>
  </si>
  <si>
    <t xml:space="preserve">ΔEBITDA (±20%)</t>
  </si>
  <si>
    <t xml:space="preserve">NPV @ -20%</t>
  </si>
  <si>
    <t xml:space="preserve">NPV @ +20%</t>
  </si>
  <si>
    <t xml:space="preserve">NPV Range</t>
  </si>
  <si>
    <t xml:space="preserve">Tornado</t>
  </si>
  <si>
    <t xml:space="preserve">  Gaming weekly footfall</t>
  </si>
  <si>
    <t xml:space="preserve">  Events per month (all types)</t>
  </si>
  <si>
    <t xml:space="preserve">  F&amp;B conversion %</t>
  </si>
  <si>
    <t xml:space="preserve">  Active students/month (Academy)</t>
  </si>
  <si>
    <t xml:space="preserve">  Esports utilization %</t>
  </si>
  <si>
    <t xml:space="preserve">  Borderless touring revenue</t>
  </si>
  <si>
    <t xml:space="preserve">  Subleasing occupancy %</t>
  </si>
  <si>
    <t xml:space="preserve">  WACC discount rate (12.5% ± 2.5pp)</t>
  </si>
  <si>
    <t xml:space="preserve">N/A (rate)</t>
  </si>
  <si>
    <t xml:space="preserve">±2.5pp</t>
  </si>
  <si>
    <t xml:space="preserve">Discount rate</t>
  </si>
  <si>
    <t xml:space="preserve">  ⚠  Drivers shown in input order. To rank by impact, sort range B-H by column H descending.</t>
  </si>
  <si>
    <t xml:space="preserve">◆  E.  INTERPRETATION  &amp;  KEY  TAKEAWAYS</t>
  </si>
  <si>
    <t xml:space="preserve">⊙  HOW TO READ: For each driver, NPV is recalculated assuming a ±20% shock from base case. The "NPV Range" column shows the spread.</t>
  </si>
  <si>
    <t xml:space="preserve">⊙  TOP DRIVER: The driver with the largest NPV Range (column H) is the most sensitive — small changes have biggest impact on project value.</t>
  </si>
  <si>
    <t xml:space="preserve">⊙  DEFENSIVE STORY: Drivers with small NPV Range are robust — variability in those assumptions doesn't move the deal much.</t>
  </si>
  <si>
    <t xml:space="preserve">⊙  HIGH-RISK DRIVERS: Top-3 drivers warrant explicit hedging strategy or contingency plans (e.g., locked sponsor commitments, signed B2B contracts).</t>
  </si>
  <si>
    <t xml:space="preserve">⊙  WACC SENSITIVITY: If WACC is the largest single driver, the deal is "discount-rate-sensitive" — likely terminal-value heavy (Gordon growth dominance).</t>
  </si>
  <si>
    <t xml:space="preserve">⊙  METHODOLOGY CAVEAT: Sensitivity uses a simplified linear approximation: ΔEBITDA = 20% × Revenue × Contribution Margin. For exact non-linear effects, use full model recalc.</t>
  </si>
  <si>
    <t xml:space="preserve">⊙  PROBABILITY-WEIGHTED NEXT STEP: Use these sensitivities to build P10/P50/P90 scenarios with explicit probability weights for McKinsey-grade analysis.</t>
  </si>
  <si>
    <t xml:space="preserve">  Scenarios · Bear / Base / Bull · Probability-Weighted</t>
  </si>
  <si>
    <t xml:space="preserve">  Side-by-side ecosystem comparison · Y4 mature</t>
  </si>
  <si>
    <t xml:space="preserve">◆  ECOSYSTEM  SCENARIO  COMPARISON  (Y4 mature)</t>
  </si>
  <si>
    <t xml:space="preserve">BEAR</t>
  </si>
  <si>
    <t xml:space="preserve">BULL</t>
  </si>
  <si>
    <t xml:space="preserve">Spread</t>
  </si>
  <si>
    <t xml:space="preserve">◆  PROBABILITY-WEIGHTED  EXPECTED  REVENUE</t>
  </si>
  <si>
    <t xml:space="preserve">Weighted</t>
  </si>
  <si>
    <t xml:space="preserve">  BEAR</t>
  </si>
  <si>
    <t xml:space="preserve">  BULL</t>
  </si>
  <si>
    <t xml:space="preserve">  EXPECTED ECOSYSTEM REVENUE</t>
  </si>
  <si>
    <t xml:space="preserve">  PROBABILITY  SCENARIOS  —  P10 / P50 / P90  Weighted Expected Value</t>
  </si>
  <si>
    <t xml:space="preserve">  15% Bear (P10) / 70% Base (P50) / 15% Bull (P90) · McKinsey-grade scenario weighting · Expected Y4 EBITDA + NPV</t>
  </si>
  <si>
    <t xml:space="preserve">◆  A.  PROBABILITY  FRAMEWORK</t>
  </si>
  <si>
    <t xml:space="preserve">BEAR (P10)</t>
  </si>
  <si>
    <t xml:space="preserve">BASE (P50)</t>
  </si>
  <si>
    <t xml:space="preserve">BULL (P90)</t>
  </si>
  <si>
    <t xml:space="preserve">Validation</t>
  </si>
  <si>
    <t xml:space="preserve">  Probability weight</t>
  </si>
  <si>
    <t xml:space="preserve">  Validation</t>
  </si>
  <si>
    <t xml:space="preserve">◆  B.  KEY  DRIVER  ASSUMPTIONS  PER  SCENARIO</t>
  </si>
  <si>
    <t xml:space="preserve">Bear → Bull Range</t>
  </si>
  <si>
    <t xml:space="preserve">Rationale (Bull case)</t>
  </si>
  <si>
    <t xml:space="preserve">  Corporate events/month</t>
  </si>
  <si>
    <t xml:space="preserve">Capacity-capped: venue can host max 8/mo. Strong corporate Casa demand</t>
  </si>
  <si>
    <t xml:space="preserve">  Title sponsor close prob</t>
  </si>
  <si>
    <t xml:space="preserve">0%</t>
  </si>
  <si>
    <t xml:space="preserve">0% → 90%</t>
  </si>
  <si>
    <t xml:space="preserve">Pixoul UAE has 100+ relationships; multiple paths to close</t>
  </si>
  <si>
    <t xml:space="preserve">Pixoul UAE matures at 280/mo — Casa ceiling similar</t>
  </si>
  <si>
    <t xml:space="preserve">  F&amp;B conversion from Gaming</t>
  </si>
  <si>
    <t xml:space="preserve">30%</t>
  </si>
  <si>
    <t xml:space="preserve">38%</t>
  </si>
  <si>
    <t xml:space="preserve">20% → 38%</t>
  </si>
  <si>
    <t xml:space="preserve">Industry top quartile; achievable with curated F&amp;B partnerships</t>
  </si>
  <si>
    <t xml:space="preserve">28%</t>
  </si>
  <si>
    <t xml:space="preserve">40%</t>
  </si>
  <si>
    <t xml:space="preserve">52%</t>
  </si>
  <si>
    <t xml:space="preserve">28% → 52%</t>
  </si>
  <si>
    <t xml:space="preserve">Federation MOU brings tournament traffic; weekday school visits</t>
  </si>
  <si>
    <t xml:space="preserve">Tourism recovery + school groups; 110 = capacity ceiling</t>
  </si>
  <si>
    <t xml:space="preserve">Bull = 30% upside on traffic; capped by venue capacity at 1300</t>
  </si>
  <si>
    <t xml:space="preserve">  Sponsorship deals (sub-title)</t>
  </si>
  <si>
    <t xml:space="preserve">Bull = aggressive zone-by-zone sponsor capture</t>
  </si>
  <si>
    <t xml:space="preserve">◆  C.  Y4  OUTCOMES  PER  SCENARIO  (Revenue · EBITDA · Margin · NPV)</t>
  </si>
  <si>
    <t xml:space="preserve">Bear → Bull Δ</t>
  </si>
  <si>
    <t xml:space="preserve">  Revenue</t>
  </si>
  <si>
    <t xml:space="preserve">  Pillar EBITDA</t>
  </si>
  <si>
    <t xml:space="preserve">  (-) Group Overhead (mostly fixed)</t>
  </si>
  <si>
    <t xml:space="preserve">  ◆  PLATFORM EBITDA</t>
  </si>
  <si>
    <t xml:space="preserve">  Platform Margin %</t>
  </si>
  <si>
    <t xml:space="preserve">  Project NPV @ 12.5% WACC</t>
  </si>
  <si>
    <t xml:space="preserve">  Y7 Exit EBITDA (scaled)</t>
  </si>
  <si>
    <t xml:space="preserve">  Y7 Exit Value (8x EBITDA)</t>
  </si>
  <si>
    <t xml:space="preserve">◆  D.  PROBABILITY-WEIGHTED  EXPECTED  VALUE  (15/70/15 weights)</t>
  </si>
  <si>
    <t xml:space="preserve">Expected Value</t>
  </si>
  <si>
    <t xml:space="preserve">  Y4 Revenue</t>
  </si>
  <si>
    <t xml:space="preserve">  Y4 Pillar EBITDA</t>
  </si>
  <si>
    <t xml:space="preserve">  Y4 Platform EBITDA</t>
  </si>
  <si>
    <t xml:space="preserve">  Investor MOIC @ Y7</t>
  </si>
  <si>
    <t xml:space="preserve">◆  E.  EXPECTED  VALUE  SUMMARY</t>
  </si>
  <si>
    <t xml:space="preserve">  Expected Y4 Revenue (probability-weighted)</t>
  </si>
  <si>
    <t xml:space="preserve">  Expected Y4 Platform EBITDA</t>
  </si>
  <si>
    <t xml:space="preserve">  Expected NPV @ 12.5% WACC</t>
  </si>
  <si>
    <t xml:space="preserve">  Expected Investor MOIC @ Y7</t>
  </si>
  <si>
    <t xml:space="preserve">◆  F.  METHODOLOGY  NOTES</t>
  </si>
  <si>
    <t xml:space="preserve">⊙ Probability weights: 15% Bear / 70% Base / 15% Bull · Reflects high confidence in base case (Pixoul UAE proof points + signed sponsor LOIs + Federation MOU)</t>
  </si>
  <si>
    <t xml:space="preserve">⊙ Bear scenario: Pulled from Bear Case tab (Section B) — 6 driver shocks totaling -$1.18M Y4 revenue, with 70% EBITDA pull-through (fixed cost absorption)</t>
  </si>
  <si>
    <t xml:space="preserve">⊙ Bull scenario: Capacity-capped upside symmetric to bear · 8 corporate events/mo (max venue throughput), 90% sponsor close, 260 students (UAE comp ceiling)</t>
  </si>
  <si>
    <t xml:space="preserve">⊙ EBITDA pull-through: Bear 70% (revenue loss carries 70% to EBITDA — fixed costs absorb 30%); Bull 80% (revenue gain carries 80% — capacity scales add some variable cost)</t>
  </si>
  <si>
    <t xml:space="preserve">⊙ NPV multiplier: 7.20x EBITDA → NPV (post-tax). Calculated as PV factor (5.54 sum of discount factors Y1-Y10 at 12.5%) + terminal factor (2.99 from Gordon growth at g=2%, capped at Y10 PV) × (1-tax 15.5%)</t>
  </si>
  <si>
    <t xml:space="preserve">⊙ Y7 EBITDA scaling: 1.205x Y4 (matches Exit &amp; Returns tab Y4-to-Y7 growth pattern from base case ramp + inflation)</t>
  </si>
  <si>
    <t xml:space="preserve">⊙ Exit multiple: 8x EBITDA Base case (PE financial buyer comp) for Y7 exit — aligns with Exit &amp; Returns sensitivity table</t>
  </si>
  <si>
    <t xml:space="preserve">⊙ Group Overhead: Held constant across scenarios (corporate costs are mostly fixed regardless of pillar performance)</t>
  </si>
  <si>
    <t xml:space="preserve">⊙ WACC: 12.5% across all scenarios (single discount rate; sensitivity to WACC handled separately in NPV Sensitivity tab)</t>
  </si>
  <si>
    <t xml:space="preserve">SCENARIO SPREAD MEMOS — Bull/Bear ratios explained per pillar</t>
  </si>
  <si>
    <t xml:space="preserve">Reviewer challenge: "Why are some pillar Bull/Bear spreads so wide? What specifically unlocks Bull?"</t>
  </si>
  <si>
    <t xml:space="preserve">A.  PILLAR  SPREADS  ABOVE  5×  —  Each needs an unlock explanation</t>
  </si>
  <si>
    <t xml:space="preserve">Bear ($K)</t>
  </si>
  <si>
    <t xml:space="preserve">Base ($K)</t>
  </si>
  <si>
    <t xml:space="preserve">Bull ($K)</t>
  </si>
  <si>
    <t xml:space="preserve">Bull/Bear Spread</t>
  </si>
  <si>
    <t xml:space="preserve">What unlocks Bull</t>
  </si>
  <si>
    <t xml:space="preserve">⊙ Title sponsor closes at 90% prob (vs 30% Base) AND adds 2nd Title at 50% prob AND 3 Zone deals close AND all Activations/Naming activated. Single Title closure could change game.</t>
  </si>
  <si>
    <t xml:space="preserve">Esports</t>
  </si>
  <si>
    <t xml:space="preserve">⊙ Utilization 65% (vs 40% Base) + premium hourly +25% + tournament hosting 12/yr (vs 4) + corporate team-building 24/yr (vs 12). Requires FRMJE federation deal closure for tournaments.</t>
  </si>
  <si>
    <t xml:space="preserve">⊙ Talent agency closes 3 anchor clients (vs 1) + Production studio scales to 60 hours/wk utilization (vs 30) + External Education partnerships with 5+ schools (vs 2). Asset-light, scales fast IF anchor demand exists.</t>
  </si>
  <si>
    <t xml:space="preserve">⊙ Bull assumes Esports + Corp events 504 total/yr (vs 108 Base). This requires Casa B2B market acceptance at premium pricing — driven by Casa Finance City corporate density + AFCON 2025 dry run.</t>
  </si>
  <si>
    <t xml:space="preserve">⊙ Bull = 45% Gaming→F&amp;B conversion (vs 30%) + corporate catering 3 anchor contracts + online orders 30% of revenue. Glovo/Jumia platform agreements needed pre-launch.</t>
  </si>
  <si>
    <t xml:space="preserve">⊙ Bull = 130 visitors/day (vs 80) + groups 50/wk (vs 30) + 2 special exhibits/yr. Marrakech/Casa tourism uplift + school partnerships (15+ schools, govt program).</t>
  </si>
  <si>
    <t xml:space="preserve">B.  PROBABILITY-WEIGHTED  REVENUE  (Bear 20% · Base 55% · Bull 25%)</t>
  </si>
  <si>
    <t xml:space="preserve">Bear×20%</t>
  </si>
  <si>
    <t xml:space="preserve">Base×55%</t>
  </si>
  <si>
    <t xml:space="preserve">Bull×25%</t>
  </si>
  <si>
    <t xml:space="preserve">Weighted Expected</t>
  </si>
  <si>
    <t xml:space="preserve">vs Base (% above/below)</t>
  </si>
  <si>
    <t xml:space="preserve">C.  HONEST  REVIEWER  DEFENSE  POSITION</t>
  </si>
  <si>
    <t xml:space="preserve">⊙ ACKNOWLEDGE: The Bull/Bear spread is wide because the venue is new, untested, and has multiple binary drivers (Title sponsor close, FRMJE deal, Glovo partnership, corporate B2B traction).</t>
  </si>
  <si>
    <t xml:space="preserve">⊙ DEFEND: Bear case is genuinely defensible — it assumes most binary events fail. See Bear Case C2 (Full-Scenario) which shows Platform EBITDA -$580K. We are not relying on Bull.</t>
  </si>
  <si>
    <t xml:space="preserve">⊙ FRAME: Base case is what we underwrite the deal on. Bull is upside optionality, not a return-justifying assumption.</t>
  </si>
  <si>
    <t xml:space="preserve">⊙ COMMIT: Each Bull-unlock is a TRACKABLE milestone: Title sponsor closure (binary, by month 18), FRMJE federation agreement (signed/not, by month 12), Glovo/Jumia deals (signed by Month 3), Casa Finance City corporate pipeline (10+ leads by month 9).</t>
  </si>
  <si>
    <t xml:space="preserve">⊙ FALLBACK: Probability-weighted revenue (Section B) is the honest middle position — it accounts for both Bear and Bull at their stated probabilities.</t>
  </si>
  <si>
    <t xml:space="preserve">  BEAR  CASE  NARRATIVE  —  What Happens if Top Drivers Underperform</t>
  </si>
  <si>
    <t xml:space="preserve">  Honest downside · Driver-by-driver · P&amp;L impact · Cash position · Investor implications · Mitigation playbook</t>
  </si>
  <si>
    <t xml:space="preserve">◆  A.  EXECUTIVE  NARRATIVE  (one-paragraph honest framing)</t>
  </si>
  <si>
    <t xml:space="preserve">BEAR CASE FRAMING (v54). The Medina Lab has identifiable concentration risks: EVENTS (top-of-industry 51% margin, dependent on corporate volume), SPONSORSHIPS (title sponsor binary risk, mitigated by tightening close prob 50%→30%), and ACADEMY (B2B-anchored at 56% of pillar revenue, dependent on corporate training adoption). Two Bear views are modeled below: C1 Driver-Shock (named 6 risks materialize, rest stays Base) and C2 Full-Scenario (every driver regresses to Bear value simultaneously). C2 shows negative Platform EBITDA — this is the institutional reviewer view and the design constraint for capital adequacy and rescue stack sizing.</t>
  </si>
  <si>
    <t xml:space="preserve">⚠ v53 audit: All bear shocks rebuilt formulaically — values derive from current pillar drivers.</t>
  </si>
  <si>
    <t xml:space="preserve">◆  B.  BEAR  CASE  DRIVER  ASSUMPTIONS  (vs Base)</t>
  </si>
  <si>
    <t xml:space="preserve">Δ from Base</t>
  </si>
  <si>
    <t xml:space="preserve">Y4 Rev Impact</t>
  </si>
  <si>
    <t xml:space="preserve">-2 events</t>
  </si>
  <si>
    <t xml:space="preserve">Lose 2 corp events/mo × $7K ticket × 12 months</t>
  </si>
  <si>
    <t xml:space="preserve">No deal</t>
  </si>
  <si>
    <t xml:space="preserve">Title sponsor expected value: 1 deal × $150K × 50% prob = $75K lost in bear</t>
  </si>
  <si>
    <t xml:space="preserve">-55 students</t>
  </si>
  <si>
    <t xml:space="preserve">Academy -55 students = 28.2% drop</t>
  </si>
  <si>
    <t xml:space="preserve">-10pp</t>
  </si>
  <si>
    <t xml:space="preserve">Gaming F&amp;B conv -10pp: visitors × -10pp × $4</t>
  </si>
  <si>
    <t xml:space="preserve">-12pp</t>
  </si>
  <si>
    <t xml:space="preserve">Esports util -12pp = -30% revenue</t>
  </si>
  <si>
    <t xml:space="preserve">-30 visitors</t>
  </si>
  <si>
    <t xml:space="preserve">Museum -30/day × blended ticket (30/45/25 mix) × 300 operating days</t>
  </si>
  <si>
    <t xml:space="preserve">  ◆  TOTAL Y4 REVENUE IMPACT (BEAR)</t>
  </si>
  <si>
    <t xml:space="preserve">Sum of revenue lost across all 6 bear-case driver shifts</t>
  </si>
  <si>
    <t xml:space="preserve">◆  C1.  DRIVER-SHOCK  BEAR  (6 isolated risks materialize · OTHER drivers stay at Base)</t>
  </si>
  <si>
    <t xml:space="preserve">BASE Y4 (current)</t>
  </si>
  <si>
    <t xml:space="preserve">BEAR (driver-shock)</t>
  </si>
  <si>
    <t xml:space="preserve">Δ Absolute</t>
  </si>
  <si>
    <t xml:space="preserve">Δ %</t>
  </si>
  <si>
    <t xml:space="preserve">  Revenue (Y4 mature)</t>
  </si>
  <si>
    <t xml:space="preserve">Bear EBITDA = Base + ΔRev × (1-cost ratio)</t>
  </si>
  <si>
    <t xml:space="preserve">◆  D.  DEBT  SERVICE  COVERAGE  TEST  (DSCR  &gt;  1.2×  threshold)</t>
  </si>
  <si>
    <t xml:space="preserve">  Equipment Loan principal</t>
  </si>
  <si>
    <t xml:space="preserve">⊙ Bank loan from CapEx waterfall</t>
  </si>
  <si>
    <t xml:space="preserve">  Annual interest rate</t>
  </si>
  <si>
    <t xml:space="preserve">⊙ Equipment Loan term sheet</t>
  </si>
  <si>
    <t xml:space="preserve">  Annual interest expense</t>
  </si>
  <si>
    <t xml:space="preserve">⊙ Principal × rate</t>
  </si>
  <si>
    <t xml:space="preserve">  Loan term (years)</t>
  </si>
  <si>
    <t xml:space="preserve">⊙ Standard FEC term</t>
  </si>
  <si>
    <t xml:space="preserve">  Annual principal payment</t>
  </si>
  <si>
    <t xml:space="preserve">⊙ Equal amortization</t>
  </si>
  <si>
    <t xml:space="preserve">⊙ Interest + principal</t>
  </si>
  <si>
    <t xml:space="preserve">  Driver-Shock Bear Y4 EBITDA (C1)</t>
  </si>
  <si>
    <t xml:space="preserve">⊙ From P&amp;L above</t>
  </si>
  <si>
    <t xml:space="preserve">  Driver-Shock Bear DSCR (C1)</t>
  </si>
  <si>
    <t xml:space="preserve">⊙ Critical: must be &gt; 1.2x</t>
  </si>
  <si>
    <t xml:space="preserve">  Full-Scenario Bear Y4 EBITDA (C2)</t>
  </si>
  <si>
    <t xml:space="preserve">  Full-Scenario Bear DSCR (C2)</t>
  </si>
  <si>
    <t xml:space="preserve">1.</t>
  </si>
  <si>
    <t xml:space="preserve">EVENTS UNDERPERFORMS</t>
  </si>
  <si>
    <t xml:space="preserve">Pivot Events Hall to: (a) wedding &amp; private events ($3K avg, less corporate dependency), (b) school graduation ceremonies (Casa private school market = ~50 schools), (c) gaming tournaments (esports federation MOU). Target: rebuild to 6 events/mo within 18 months.</t>
  </si>
  <si>
    <t xml:space="preserve">2.</t>
  </si>
  <si>
    <t xml:space="preserve">TITLE SPONSOR DOESN'T CLOSE</t>
  </si>
  <si>
    <t xml:space="preserve">Replace title with 2-3 mid-tier zone sponsors at $50K-$80K each. Pixoul UAE has 100+ existing brand relationships — leverage. Or: accept first year without title, defer expectation to Y2.</t>
  </si>
  <si>
    <t xml:space="preserve">3.</t>
  </si>
  <si>
    <t xml:space="preserve">ACADEMY ENROLLMENT WEAK</t>
  </si>
  <si>
    <t xml:space="preserve">Aggressive school B2B push (15 partnerships → 30+). Add government school adoption discount. Pivot tutoring model to corporate L&amp;D / upskilling for adults. Lower price tier at $50/mo to capture mass market.</t>
  </si>
  <si>
    <t xml:space="preserve">4.</t>
  </si>
  <si>
    <t xml:space="preserve">F&amp;B CONVERSION DROPS</t>
  </si>
  <si>
    <t xml:space="preserve">Cut staff from 8 to 5 FTE (variable cost flex). Negotiate Glovo/Jumia exclusive partnership for delivery economics. Switch CFC pivot to gourmet sandwiches / less-staff-intensive menu.</t>
  </si>
  <si>
    <t xml:space="preserve">5.</t>
  </si>
  <si>
    <t xml:space="preserve">ESPORTS COMPETITIVE PRESSURE</t>
  </si>
  <si>
    <t xml:space="preserve">Drop standard hourly rate to $3 (match competition). Differentiate on tournaments + education ladder. Consider mothballing if utilization &lt; 25%.</t>
  </si>
  <si>
    <t xml:space="preserve">6.</t>
  </si>
  <si>
    <t xml:space="preserve">GENERAL OPEX FLEX</t>
  </si>
  <si>
    <t xml:space="preserve">Defer $300K Phase 2 fitout. Reduce marketing from $200K to $100K (relying on UAE brand). Postpone instructor hires until enrollment confirms. Available cushion: ~$500K Y1 spend.</t>
  </si>
  <si>
    <t xml:space="preserve">7.</t>
  </si>
  <si>
    <t xml:space="preserve">CAPITAL RESTRUCTURE</t>
  </si>
  <si>
    <t xml:space="preserve">Equipment Loan interest-only Y1-Y2 amendment ($69K savings/yr). Defer suppliers debt repayment ($150K/yr cushion). Convert Pre-Launching Profits to bridge equity if needed.</t>
  </si>
  <si>
    <t xml:space="preserve">◆  F.  INVESTOR  IMPLICATIONS  (Bear case)</t>
  </si>
  <si>
    <t xml:space="preserve">⊙ Equity check: $7.22M Round 1 for 49% at $14.74M post-money. Fully drawn at Y0 — Round 2 emergency bridge ($2M convertible) only triggered if both operational mitigations AND rescue capital stack insufficient.</t>
  </si>
  <si>
    <t xml:space="preserve">⊙ Y4 Bear EBITDA per current model:</t>
  </si>
  <si>
    <t xml:space="preserve">Bear Margin:</t>
  </si>
  <si>
    <t xml:space="preserve">vs Base:</t>
  </si>
  <si>
    <t xml:space="preserve">⊙ Bear DSCR is the key metric — if EBITDA / Debt Service &lt; 1.2×, covenant breach risk emerges.</t>
  </si>
  <si>
    <t xml:space="preserve">⊙ Bear Y5 cumulative NCF tracks ~30-40% worse than Base; recoverable Y6-Y8 with mitigation activation.</t>
  </si>
  <si>
    <t xml:space="preserve">⊙ Bear NPV @ 12.5% WACC: NEGATIVE under C2 full-scenario (consistent with -$580K Y4 EBITDA). Under C1 driver-shock view: marginally positive. Equity returns: 0.3x-0.8x MOIC at Y5 exit in either view — Bear is value-destroying at standard discount rates.</t>
  </si>
  <si>
    <t xml:space="preserve">⊙ Y10 recovery: with rescue capital stack ($6.3M deployed Y1-Y3), cumulative cash burn caps at -$24.7M (vs raw survival -$30.1M). LP recovery dependent on Y5+ operational turnaround.</t>
  </si>
  <si>
    <t xml:space="preserve">⊙ Mitigation lever value (Section E + Survival G/J): Operational cuts ~$1.5M EBITDA recovery, rescue capital stack $6.3M cash injection, combined improvement vs raw survival = $5.4M cash burn reduction.</t>
  </si>
  <si>
    <t xml:space="preserve">⊙ Catastrophic scenario: if pillars 6-9 (Subleasing/F&amp;B/Sponsorships/Borderless) all underperform Bear by &gt;25%, equity bridge R2 ($2M) becomes mandatory and total ask reaches $9.22M for 49% (re-prices to $18.8M post-money).</t>
  </si>
  <si>
    <t xml:space="preserve">◆  C2.  FULL-SCENARIO  BEAR  (toggle-driven · ALL drivers at Bear · institutional reviewer view)</t>
  </si>
  <si>
    <t xml:space="preserve">⊙ When Exec Summary!H7 = "BEAR", the entire model recomputes using each pillar's Bear driver column.</t>
  </si>
  <si>
    <t xml:space="preserve">⊙ This is a stricter view than C1: it assumes ALL Bear scenarios hit simultaneously, not just 6 isolated drivers.</t>
  </si>
  <si>
    <t xml:space="preserve">BASE Y4</t>
  </si>
  <si>
    <t xml:space="preserve">FULL BEAR (all drivers)</t>
  </si>
  <si>
    <t xml:space="preserve">  Revenue Y4</t>
  </si>
  <si>
    <t xml:space="preserve">  Pillar Direct Cost Y4</t>
  </si>
  <si>
    <t xml:space="preserve">  Pillar EBITDA Y4</t>
  </si>
  <si>
    <t xml:space="preserve">  ◆ PLATFORM EBITDA Y4</t>
  </si>
  <si>
    <t xml:space="preserve">  ◆ Platform Margin %</t>
  </si>
  <si>
    <t xml:space="preserve">◆  C3.  WHICH  BEAR  IS  "REAL"?  —  Reconciliation between C1 and C2</t>
  </si>
  <si>
    <t xml:space="preserve">⊙ C1 (Driver-Shock): "6 specific risks hit simultaneously, rest stays at Base." Useful for board discussion of named risks.</t>
  </si>
  <si>
    <t xml:space="preserve">⊙ C2 (Full-Scenario): "Every pillar regresses to its Bear driver assumption." Stricter — institutional reviewer default.</t>
  </si>
  <si>
    <t xml:space="preserve">⊙ Use C1 when discussing specific risks with mitigation owners. Use C2 when defending capital adequacy to investors.</t>
  </si>
  <si>
    <t xml:space="preserve">⊙ C2 is what an LP will model when stress-testing your Round 1 ask. If C2 EBITDA is negative, your Y0 equity must bridge that.</t>
  </si>
  <si>
    <t xml:space="preserve">COMPOUNDING BEAR — Second-Order Cross-Pillar Effects</t>
  </si>
  <si>
    <t xml:space="preserve">When one pillar compresses, dependent pillars also compress. Shows what Bear Case C1/C2 misses.</t>
  </si>
  <si>
    <t xml:space="preserve">A.  METHODOLOGY  —  Why this matters</t>
  </si>
  <si>
    <t xml:space="preserve">⊙ Bear Case C1 (driver-shock) treats each pillar independently — but pillars share customers.</t>
  </si>
  <si>
    <t xml:space="preserve">⊙ If Gaming visitors drop 20%, F&amp;B and Academy ALSO drop because they share Gaming's traffic.</t>
  </si>
  <si>
    <t xml:space="preserve">⊙ Real bear scenarios cascade — this tab models 1st + 2nd order effects.</t>
  </si>
  <si>
    <t xml:space="preserve">⊙ Cross-pillar dependencies sourced from MASTER_FLOW_DASHBOARD tab.</t>
  </si>
  <si>
    <t xml:space="preserve">B.  CROSS-PILLAR  DEPENDENCY  MAP  (% of receiving pillar revenue from source pillar)</t>
  </si>
  <si>
    <t xml:space="preserve">Source pillar</t>
  </si>
  <si>
    <t xml:space="preserve">Receiving pillar</t>
  </si>
  <si>
    <t xml:space="preserve">% dependency</t>
  </si>
  <si>
    <t xml:space="preserve">Annual $ flow (Base Y4)</t>
  </si>
  <si>
    <t xml:space="preserve">Visitors × conv × spend → cafeteria</t>
  </si>
  <si>
    <t xml:space="preserve">Conversion to recurring student programs</t>
  </si>
  <si>
    <t xml:space="preserve">Walk-in to member upgrade path</t>
  </si>
  <si>
    <t xml:space="preserve">Event attendees → catering revenue</t>
  </si>
  <si>
    <t xml:space="preserve">Student visits × spend → cafeteria</t>
  </si>
  <si>
    <t xml:space="preserve">Utilized hours × spend → drinks</t>
  </si>
  <si>
    <t xml:space="preserve">All Pillars</t>
  </si>
  <si>
    <t xml:space="preserve">Footfall validates sponsor value prop</t>
  </si>
  <si>
    <t xml:space="preserve">  Total cross-pillar revenue exposure</t>
  </si>
  <si>
    <t xml:space="preserve">C.  COMPOUNDING  SCENARIO  —  Gaming compresses 20%</t>
  </si>
  <si>
    <t xml:space="preserve">Shock: Gaming Hall revenue down 20%</t>
  </si>
  <si>
    <t xml:space="preserve">Effect</t>
  </si>
  <si>
    <t xml:space="preserve">1st Order ($)</t>
  </si>
  <si>
    <t xml:space="preserve">2nd Order ($)</t>
  </si>
  <si>
    <t xml:space="preserve">Total Impact</t>
  </si>
  <si>
    <t xml:space="preserve">  Gaming Hall direct loss (-20% rev)</t>
  </si>
  <si>
    <t xml:space="preserve">Direct: 20% of Gaming Y4 revenue lost</t>
  </si>
  <si>
    <t xml:space="preserve">  F&amp;B Gaming cafeteria stream (-20%)</t>
  </si>
  <si>
    <t xml:space="preserve">2nd order: F&amp;B loses 20% of Gaming-driven covers</t>
  </si>
  <si>
    <t xml:space="preserve">  Academy Gaming-conversion stream (-20%)</t>
  </si>
  <si>
    <t xml:space="preserve">2nd order: 20% fewer Gaming visitors → Academy enrollments</t>
  </si>
  <si>
    <t xml:space="preserve">  Esports walk-in conversion (-20%)</t>
  </si>
  <si>
    <t xml:space="preserve">2nd order: 20% fewer Gaming visitors → Esports trial users</t>
  </si>
  <si>
    <t xml:space="preserve">  Sponsorships re-price (footfall validation)</t>
  </si>
  <si>
    <t xml:space="preserve">2nd order: 20% footfall drop → 30% reduction in sponsor renewal value</t>
  </si>
  <si>
    <t xml:space="preserve">  ◆  TOTAL  COMPOUNDING  IMPACT</t>
  </si>
  <si>
    <t xml:space="preserve">  ◆  Compounding multiplier (2nd order / 1st order)</t>
  </si>
  <si>
    <t xml:space="preserve">⊙ Each $1 of Gaming compression triggers $X of additional compression elsewhere</t>
  </si>
  <si>
    <t xml:space="preserve">D.  PLATFORM  EBITDA  IMPACT  —  Compounding vs Driver-Shock view</t>
  </si>
  <si>
    <t xml:space="preserve">Base Y4</t>
  </si>
  <si>
    <t xml:space="preserve">Driver-Shock Bear (C1)</t>
  </si>
  <si>
    <t xml:space="preserve">Compounding Bear (this tab)</t>
  </si>
  <si>
    <t xml:space="preserve">Δ Compounding vs C1</t>
  </si>
  <si>
    <t xml:space="preserve">  Avg Cost Ratio (Base)</t>
  </si>
  <si>
    <t xml:space="preserve">  ◆ Platform EBITDA Y4</t>
  </si>
  <si>
    <t xml:space="preserve">E.  KEY  INSIGHT  FOR  INSTITUTIONAL  REVIEW</t>
  </si>
  <si>
    <t xml:space="preserve">⊙ A 20% Gaming compression triggers approximately 1.5-2× as much total revenue loss when cross-pillar effects compound.</t>
  </si>
  <si>
    <t xml:space="preserve">⊙ This is WHY Bear Case C2 (full-scenario, all drivers at Bear simultaneously) is the institutional-reviewer default.</t>
  </si>
  <si>
    <t xml:space="preserve">⊙ C2 captures compounding implicitly (each pillar at its own Bear value). This tab makes the compounding mechanism explicit.</t>
  </si>
  <si>
    <t xml:space="preserve">⊙ Use this tab when an LP asks: "What happens if just ONE pillar fails — does it cascade?"</t>
  </si>
  <si>
    <t xml:space="preserve">⊙ THE HONEST ANSWER: Yes. Gaming, F&amp;B, Academy, Esports, Sponsorships are all interconnected via footfall.</t>
  </si>
  <si>
    <t xml:space="preserve">⊙ The diversification narrative ("9 pillars, no single dependency") is partially true at the revenue line, but</t>
  </si>
  <si>
    <t xml:space="preserve">   the actual risk concentration is in FOOTFALL — Gaming Hall is the largest footfall driver, and 5+ pillars depend on it.</t>
  </si>
  <si>
    <t xml:space="preserve">⊙ This is the case for prioritizing Gaming Hall execution above all other pillars in Y1-Y2.</t>
  </si>
  <si>
    <t xml:space="preserve">F.  EVENTS  HALL  -30%  COMPOUNDING  SCENARIO</t>
  </si>
  <si>
    <t xml:space="preserve">⊙ Events Hall -30% → F&amp;B catering loss + sponsor audience drop. Roughly -$110K total Platform impact.</t>
  </si>
  <si>
    <t xml:space="preserve">Shock: Events Hall revenue down 30% (corporate B2B fails to materialize)</t>
  </si>
  <si>
    <t xml:space="preserve">⊙ Sponsorships -50% → minimal 2nd order (sponsorship is downstream of footfall, not upstream).</t>
  </si>
  <si>
    <t xml:space="preserve">  Events Hall direct loss (-30% rev)</t>
  </si>
  <si>
    <t xml:space="preserve">Direct: 30% of Events Y4 revenue lost</t>
  </si>
  <si>
    <t xml:space="preserve">  F&amp;B event catering stream (-30%)</t>
  </si>
  <si>
    <t xml:space="preserve">2nd order: F&amp;B loses 30% of event-driven catering</t>
  </si>
  <si>
    <t xml:space="preserve">  Sponsorships event-sponsor stream (-30%)</t>
  </si>
  <si>
    <t xml:space="preserve">2nd order: Event sponsors valued lower with fewer events</t>
  </si>
  <si>
    <t xml:space="preserve">  Subleasing rooftop event use (-15% indirect)</t>
  </si>
  <si>
    <t xml:space="preserve">2nd order: Lower event venue value affects rooftop sublease pricing</t>
  </si>
  <si>
    <t xml:space="preserve">  ◆  TOTAL COMPOUNDING IMPACT</t>
  </si>
  <si>
    <t xml:space="preserve">  Multiplier (2nd / 1st order)</t>
  </si>
  <si>
    <t xml:space="preserve">G.  ACADEMY  -25%  COMPOUNDING  SCENARIO</t>
  </si>
  <si>
    <t xml:space="preserve">Shock: Academy revenue down 25% (B2B corporate training underperforms)</t>
  </si>
  <si>
    <t xml:space="preserve">  Academy direct loss (-25% rev)</t>
  </si>
  <si>
    <t xml:space="preserve">Direct: 25% of Academy Y4 revenue lost (mostly B2B corp training)</t>
  </si>
  <si>
    <t xml:space="preserve">  F&amp;B student lunch/coffee stream (-25%)</t>
  </si>
  <si>
    <t xml:space="preserve">2nd order: Fewer students = fewer cafeteria covers</t>
  </si>
  <si>
    <t xml:space="preserve">  Esports member upgrade pipeline (-15%)</t>
  </si>
  <si>
    <t xml:space="preserve">2nd order: Academy students are esports membership pipeline</t>
  </si>
  <si>
    <t xml:space="preserve">  Sponsorships education-themed value (-10%)</t>
  </si>
  <si>
    <t xml:space="preserve">2nd order: Education narrative weakens, sponsor value drops</t>
  </si>
  <si>
    <t xml:space="preserve">  Multiplier</t>
  </si>
  <si>
    <t xml:space="preserve">H.  SPONSORSHIPS  -50%  COMPOUNDING  SCENARIO</t>
  </si>
  <si>
    <t xml:space="preserve">Shock: Sponsorships revenue down 50% (Title fails + Zone/Event sponsors underclose)</t>
  </si>
  <si>
    <t xml:space="preserve">  Sponsorships direct loss (-50% rev)</t>
  </si>
  <si>
    <t xml:space="preserve">Direct: 50% of Sponsorships Y4 revenue lost</t>
  </si>
  <si>
    <t xml:space="preserve">  Cross-pillar visibility impact (-5% on other pillars)</t>
  </si>
  <si>
    <t xml:space="preserve">2nd order: Lower marketing co-funding from sponsors → reduced cross-pillar acquisition spend → modest revenue compression</t>
  </si>
  <si>
    <t xml:space="preserve">  ⊙ Note: Sponsorships is DOWNSTREAM of footfall (sponsors react to traffic, not drive it).</t>
  </si>
  <si>
    <t xml:space="preserve">  ⊙ Compounding multiplier is LOW (&lt;0.2×) — Sponsorship failure is mostly self-contained.</t>
  </si>
  <si>
    <t xml:space="preserve">I.  F&amp;B  -30%  COMPOUNDING  SCENARIO</t>
  </si>
  <si>
    <t xml:space="preserve">Shock: F&amp;B revenue down 30% (margin and unit economics worse than modeled)</t>
  </si>
  <si>
    <t xml:space="preserve">  F&amp;B direct loss (-30% rev)</t>
  </si>
  <si>
    <t xml:space="preserve">Direct: 30% of F&amp;B Y4 revenue lost</t>
  </si>
  <si>
    <t xml:space="preserve">  Gaming visitor satisfaction → repeat rate (-3%)</t>
  </si>
  <si>
    <t xml:space="preserve">2nd order: Poor F&amp;B reduces venue satisfaction → repeat visit rate drops</t>
  </si>
  <si>
    <t xml:space="preserve">  Events catering quality issue (-5% on event bookings)</t>
  </si>
  <si>
    <t xml:space="preserve">2nd order: F&amp;B failure makes Events Hall less attractive for corporate clients</t>
  </si>
  <si>
    <t xml:space="preserve">  ⊙ Note: F&amp;B is DOWNSTREAM of footfall but UPSTREAM of repeat visits — has both incoming and outgoing dependencies.</t>
  </si>
  <si>
    <t xml:space="preserve">J.  ALL  COMPOUNDING  SCENARIOS  —  Comparative Summary</t>
  </si>
  <si>
    <t xml:space="preserve">Shock pillar</t>
  </si>
  <si>
    <t xml:space="preserve">Direct Loss</t>
  </si>
  <si>
    <t xml:space="preserve">2nd Order Loss</t>
  </si>
  <si>
    <t xml:space="preserve">Total Loss</t>
  </si>
  <si>
    <t xml:space="preserve">Verdict</t>
  </si>
  <si>
    <t xml:space="preserve">Gaming -20%</t>
  </si>
  <si>
    <t xml:space="preserve">🔴 HIGH — Gaming is footfall hub for 5+ pillars</t>
  </si>
  <si>
    <t xml:space="preserve">Events -30%</t>
  </si>
  <si>
    <t xml:space="preserve">🟡 MEDIUM — Events feeds F&amp;B catering + Sponsor pricing</t>
  </si>
  <si>
    <t xml:space="preserve">Academy -25%</t>
  </si>
  <si>
    <t xml:space="preserve">🟡 MEDIUM — Academy feeds F&amp;B + Esports pipeline</t>
  </si>
  <si>
    <t xml:space="preserve">Sponsorships -50%</t>
  </si>
  <si>
    <t xml:space="preserve">🟢 LOW — Mostly self-contained (downstream of footfall)</t>
  </si>
  <si>
    <t xml:space="preserve">F&amp;B -30%</t>
  </si>
  <si>
    <t xml:space="preserve">🟡 MEDIUM — Cross-affects satisfaction + Events attractiveness</t>
  </si>
  <si>
    <t xml:space="preserve">⊙ KEY INSIGHT: Gaming is the single highest cross-pillar dependency (multiplier 1.46×). Sponsorships and F&amp;B failures are mostly contained. Events and Academy have meaningful 2nd-order impact via F&amp;B catering / cafeteria.</t>
  </si>
  <si>
    <t xml:space="preserve">⊙ STRATEGIC IMPLICATION: Y1-Y2 priority must be Gaming Hall traction. Other pillar misses are recoverable; Gaming miss cascades.</t>
  </si>
  <si>
    <t xml:space="preserve">  Investor Dashboard · Visual Summary</t>
  </si>
  <si>
    <t xml:space="preserve">  Charts · Revenue · EBITDA · Mix · Scenarios</t>
  </si>
  <si>
    <t xml:space="preserve">◆  CHARTS  (Y4 Base · all data pulled from Master sheets)</t>
  </si>
  <si>
    <t xml:space="preserve">◆  CHART  DATA  (do not edit · used by dashboard charts)</t>
  </si>
  <si>
    <t xml:space="preserve">  COST STRUCTURE — Fixed vs Variable</t>
  </si>
  <si>
    <t xml:space="preserve">  Operating leverage · Margin expansion with scale · Live-linked from pillar tabs</t>
  </si>
  <si>
    <t xml:space="preserve">◆  COST  STRUCTURE  BY  PILLAR  (Y4 mature)</t>
  </si>
  <si>
    <t xml:space="preserve">Total Cost</t>
  </si>
  <si>
    <t xml:space="preserve">Fixed Cost (est)</t>
  </si>
  <si>
    <t xml:space="preserve">Variable Cost (est)</t>
  </si>
  <si>
    <t xml:space="preserve">Operating Leverage</t>
  </si>
  <si>
    <t xml:space="preserve">MEDIUM-HIGH</t>
  </si>
  <si>
    <t xml:space="preserve">LOW</t>
  </si>
  <si>
    <t xml:space="preserve">◆  PLATFORM-LEVEL  COST  ECONOMICS</t>
  </si>
  <si>
    <t xml:space="preserve">High-fixed pillars (Subleasing 95%, Sponsorships 85%, Museum 78%, Academy 70%) drive operating leverage. As revenue grows beyond Y4, fixed costs amortize over higher revenue base — margin expands. F&amp;B (30% fixed) is the most variable-cost pillar, scales with traffic but caps at 33% margin. Investor takeaway: Y4 47% margin is NOT the ceiling. With another year of revenue ramp, mature margin reaches 50-55%.</t>
  </si>
  <si>
    <t xml:space="preserve">  GROUP  /  CORPORATE  OPEX  —  Single source of truth · Centralized cost stack</t>
  </si>
  <si>
    <t xml:space="preserve">  All non-pillar costs · Live links to Master Cost · Y1-Y8 scaling with ramp factors · Subleasing offsets shown for net view</t>
  </si>
  <si>
    <t xml:space="preserve">◆  A.  CORPORATE  FUNCTIONS  (people-cost block, scales with team)</t>
  </si>
  <si>
    <t xml:space="preserve">Annual ($)</t>
  </si>
  <si>
    <t xml:space="preserve">$ / FTE</t>
  </si>
  <si>
    <t xml:space="preserve">% Group OH</t>
  </si>
  <si>
    <t xml:space="preserve">  CEO / General Manager</t>
  </si>
  <si>
    <t xml:space="preserve">Toufic Assaf</t>
  </si>
  <si>
    <t xml:space="preserve">~2 FTE — central CFO function + 1 accountant</t>
  </si>
  <si>
    <t xml:space="preserve">Centralized v44+ · brand + PR + digital + ALL pillar marketing</t>
  </si>
  <si>
    <t xml:space="preserve">~1.5 FTE — admin coordinator + retained legal + IT support</t>
  </si>
  <si>
    <t xml:space="preserve">  Software Developer / IT Systems</t>
  </si>
  <si>
    <t xml:space="preserve">1 FTE — booking, member portal, ticketing, POS · alt: outsource $20-25K</t>
  </si>
  <si>
    <t xml:space="preserve">  Operations Manager</t>
  </si>
  <si>
    <t xml:space="preserve">1 FTE — day-to-day venue ops across 9 pillars</t>
  </si>
  <si>
    <t xml:space="preserve">  Subtotal — Corporate Functions</t>
  </si>
  <si>
    <t xml:space="preserve">◆  B.  FACILITY  &amp;  PHYSICAL  PLANT  (fixed regardless of revenue)</t>
  </si>
  <si>
    <t xml:space="preserve">$ / sqm</t>
  </si>
  <si>
    <t xml:space="preserve">  Facility Rent (6,300 sqm full venue)</t>
  </si>
  <si>
    <t xml:space="preserve">$700K = $111/sqm/yr · sublease income offsets ~$315K (in pillar)</t>
  </si>
  <si>
    <t xml:space="preserve">  Utilities (electricity, water, internet, HVAC)</t>
  </si>
  <si>
    <t xml:space="preserve">$140K = $22/sqm/yr · all utilities incl HVAC and chillers</t>
  </si>
  <si>
    <t xml:space="preserve">  Security (24/7, 3 rotating guards)</t>
  </si>
  <si>
    <t xml:space="preserve">6,300 sqm + kids + equipment requires overnight + day coverage</t>
  </si>
  <si>
    <t xml:space="preserve">In-house handyman + cleaning supervisor</t>
  </si>
  <si>
    <t xml:space="preserve">  Subtotal — Facility &amp; Physical Plant</t>
  </si>
  <si>
    <t xml:space="preserve">◆  C.  TRANSACTION  &amp;  PARENT  COMPANY  FEES  (variable + fixed)</t>
  </si>
  <si>
    <t xml:space="preserve">Basis</t>
  </si>
  <si>
    <t xml:space="preserve">All 9 pillars consolidated · ~1.5% of revenue (target)</t>
  </si>
  <si>
    <t xml:space="preserve">~1.5% rev</t>
  </si>
  <si>
    <t xml:space="preserve">  Franchise Fee (Pixoul UAE IP holder)</t>
  </si>
  <si>
    <t xml:space="preserve">3% of total revenue · scales with topline</t>
  </si>
  <si>
    <t xml:space="preserve">3% of revenue</t>
  </si>
  <si>
    <t xml:space="preserve">Fixed annual fee for parent company governance + brand</t>
  </si>
  <si>
    <t xml:space="preserve">Fixed</t>
  </si>
  <si>
    <t xml:space="preserve">  Subtotal — Transaction &amp; Parent Fees</t>
  </si>
  <si>
    <t xml:space="preserve">◆  TOTAL  GROUP  OVERHEAD  (Y4 mature)</t>
  </si>
  <si>
    <t xml:space="preserve">  ✓ Reconciliation check (must equal Master Cost C55)</t>
  </si>
  <si>
    <t xml:space="preserve">◆  D.  NET  RENT  POSITION  (with Subleasing offset)</t>
  </si>
  <si>
    <t xml:space="preserve">  (-) Facility Rent (Master)</t>
  </si>
  <si>
    <t xml:space="preserve">  (+) Subleasing Pillar Revenue (Y4 BASE)</t>
  </si>
  <si>
    <t xml:space="preserve">  ◆ NET RENT POSITION (rent net of sublease income)</t>
  </si>
  <si>
    <t xml:space="preserve">⚠ Net facility cost after sublease income; sublease offsets ~45% of rent</t>
  </si>
  <si>
    <t xml:space="preserve">◆  E.  8-YEAR  GROUP  OPEX  SCALING  (matches Consolidated P&amp;L row 36)</t>
  </si>
  <si>
    <t xml:space="preserve">  Ramp factor (vs mature)</t>
  </si>
  <si>
    <t xml:space="preserve">  ◆ Scaled Group Overhead</t>
  </si>
  <si>
    <t xml:space="preserve">⊙ All values flow from Master Cost!C42-C54 → this tab is a presentation layer with categorization. Editing here does NOT change the model — edit Master Cost directly.</t>
  </si>
  <si>
    <t xml:space="preserve">⊙ NEW v46 Group Overhead expansions: +Software Developer ($35K), +Operations Manager ($30K), +Security 24/7 ($40K), +Facilities Maintenance ($20K). Total addition: $125K reflects realistic 6,300 sqm institutional venue ops requirements.</t>
  </si>
  <si>
    <t xml:space="preserve">  OVERHEAD SENSITIVITY</t>
  </si>
  <si>
    <t xml:space="preserve">  Lean / Realistic / Scaled scenarios · Pre-empts 'overhead too low' critique</t>
  </si>
  <si>
    <t xml:space="preserve">Current model uses $1,839K Group Overhead at Y4 mature (post v45 audit fixes) — includes corporate functions ($580K incl. centralized marketing $300K) + facility rent ($700K) + utilities ($140K) + Pixoul UAE fees ($334K) + payment processing ($84K). Three sensitivity scenarios show Platform EBITDA impact at Y4.</t>
  </si>
  <si>
    <t xml:space="preserve">◆  OVERHEAD  SENSITIVITY  SCENARIOS</t>
  </si>
  <si>
    <t xml:space="preserve">Overhead</t>
  </si>
  <si>
    <t xml:space="preserve">  LEAN  (Y1-Y2 ramp · 80-90% of mature)</t>
  </si>
  <si>
    <t xml:space="preserve">  REALISTIC  (Y4 mature · current model)</t>
  </si>
  <si>
    <t xml:space="preserve">  SCALED  (full team + facility upcharge buffer)</t>
  </si>
  <si>
    <t xml:space="preserve">⊙ INVESTOR FRAMING: Pixoul ramps overhead 80%/90%/100% Y1-Y3 as team and facility load builds. Mature $1,839K reflects FULL stack — $700K rent for 6,300 sqm, utilities, Pixoul UAE fees, centralized marketing &amp; payment processing. Scaled $2,207K builds in 20% buffer for facility cost escalation.</t>
  </si>
  <si>
    <t xml:space="preserve">  RAMP STRUCTURE — Y1 to Y4</t>
  </si>
  <si>
    <t xml:space="preserve">  Conservative · Base · Accelerated ramp curves · Master model unchanged</t>
  </si>
  <si>
    <t xml:space="preserve">◆  Y4  REVENUE  TARGETS  BY  RAMP  SCENARIO</t>
  </si>
  <si>
    <t xml:space="preserve">Conservative</t>
  </si>
  <si>
    <t xml:space="preserve">20% of Y4</t>
  </si>
  <si>
    <t xml:space="preserve">50% of Y4</t>
  </si>
  <si>
    <t xml:space="preserve">80% of Y4</t>
  </si>
  <si>
    <t xml:space="preserve">100% (base)</t>
  </si>
  <si>
    <t xml:space="preserve">Slow ramp · investor-defensive</t>
  </si>
  <si>
    <t xml:space="preserve">Base (model)</t>
  </si>
  <si>
    <t xml:space="preserve">30% of Y4</t>
  </si>
  <si>
    <t xml:space="preserve">65% of Y4</t>
  </si>
  <si>
    <t xml:space="preserve">90% of Y4</t>
  </si>
  <si>
    <t xml:space="preserve">100%</t>
  </si>
  <si>
    <t xml:space="preserve">Current model assumption</t>
  </si>
  <si>
    <t xml:space="preserve">Accelerated</t>
  </si>
  <si>
    <t xml:space="preserve">40% of Y4</t>
  </si>
  <si>
    <t xml:space="preserve">75% of Y4</t>
  </si>
  <si>
    <t xml:space="preserve">95% of Y4</t>
  </si>
  <si>
    <t xml:space="preserve">Strong pre-launch pipeline · upside</t>
  </si>
  <si>
    <t xml:space="preserve">◆  ABSOLUTE  REVENUE  ($)  BY  YEAR  &amp;  SCENARIO</t>
  </si>
  <si>
    <t xml:space="preserve">⊙ FRAMING: Master model uses Base ramp. Conservative shows downside-protected build (Y1-Y3 buffer for execution risk). Accelerated shows what happens if pre-launch pipeline (schools, corporates, sponsors) over-delivers. These are illustrative ramp curves — they do NOT modify the master Y4 numbers.</t>
  </si>
  <si>
    <t xml:space="preserve">  EXECUTION ROLL-OUT PLAN</t>
  </si>
  <si>
    <t xml:space="preserve">  Phase 1 (Day 1) → Phase 2 (Y1-Y2) → Phase 3 (Y2-Y4) · Sequential venue activation</t>
  </si>
  <si>
    <t xml:space="preserve">◆  PHASE  1  —  DAY  1  LAUNCH  (Gaming · Events · F&amp;B)</t>
  </si>
  <si>
    <t xml:space="preserve">Open with three flagship pillars that drive immediate foot traffic + revenue. Gaming Hall opens with 50+ stations + arcade + redemption. Events Hall ready for bookable corporate + private + esports tournaments. F&amp;B operational from Day 1 to capture all visitors.</t>
  </si>
  <si>
    <t xml:space="preserve">  Y1 Revenue contribution: ~70% of platform revenue from these 3 pillars</t>
  </si>
  <si>
    <t xml:space="preserve">◆  PHASE  2  —  Y1  to  Y2  (Academy · Esports)</t>
  </si>
  <si>
    <t xml:space="preserve">Academy launches Q3 of Y1 with B2C cohorts (after-school + evening adult). Specialized labs phase in: Robotics + Simulation Q1 Y1, Science + Media Studio Q3 Y1, Music + Fabrication Q1 Y2. Esports Lounge soft-launches with Gaming Hall, full membership program by Y2.</t>
  </si>
  <si>
    <t xml:space="preserve">  Y2 Revenue contribution: Academy + Esports add ~20% to platform revenue</t>
  </si>
  <si>
    <t xml:space="preserve">◆  PHASE  3  —  Y2  to  Y4  (Ecosystem · Talent · Production · Sponsorships scale)</t>
  </si>
  <si>
    <t xml:space="preserve">Sponsorships scale once Year 1 traffic + brand validation in market. Borderless (Talent Agency + Studio production + External Education) launches Y2 once Academy graduates available. Museum opens with Gaming Hall (Day 1) but reaches mature visitor mix by Y3.</t>
  </si>
  <si>
    <t xml:space="preserve">  Y4 Revenue contribution: Ecosystem (Sponsorships + Borderless) reaches 10% of platform revenue</t>
  </si>
  <si>
    <t xml:space="preserve">◆  TIMELINE  VISUALIZATION</t>
  </si>
  <si>
    <t xml:space="preserve">Phase</t>
  </si>
  <si>
    <t xml:space="preserve">Start</t>
  </si>
  <si>
    <t xml:space="preserve">Y1───────Y2───────Y3───────Y4</t>
  </si>
  <si>
    <t xml:space="preserve">Pillars</t>
  </si>
  <si>
    <t xml:space="preserve">  PHASE 1</t>
  </si>
  <si>
    <t xml:space="preserve">Day 1</t>
  </si>
  <si>
    <t xml:space="preserve">████████████████████████████████████████████████████████████</t>
  </si>
  <si>
    <t xml:space="preserve">Gaming · Events · F&amp;B (always-on)</t>
  </si>
  <si>
    <t xml:space="preserve">  PHASE 2</t>
  </si>
  <si>
    <t xml:space="preserve">Q3 Y1+</t>
  </si>
  <si>
    <t xml:space="preserve">          ████████████████████████████████████████████████</t>
  </si>
  <si>
    <t xml:space="preserve">Academy launches · Esports membership</t>
  </si>
  <si>
    <t xml:space="preserve">  PHASE 3</t>
  </si>
  <si>
    <t xml:space="preserve">Y2+</t>
  </si>
  <si>
    <t xml:space="preserve">                              ██████████████████████████████</t>
  </si>
  <si>
    <t xml:space="preserve">Sponsorships + Borderless ecosystem</t>
  </si>
  <si>
    <t xml:space="preserve">⊙ EXECUTION FRAMING: Phased launch reduces Day-1 capex risk + builds revenue momentum. Phase 1 (Gaming/Events/F&amp;B) self-funds Phase 2 (Academy/Esports) through retained cash flow. Phase 3 (ecosystem) requires the brand + traffic foundation built in Phases 1-2.</t>
  </si>
  <si>
    <t xml:space="preserve">  DEMAND PROOF PACK</t>
  </si>
  <si>
    <t xml:space="preserve">  Traffic source evidence + pre-launch pipeline · Structural framework for due diligence</t>
  </si>
  <si>
    <t xml:space="preserve">◆  SECTION  1  —  TRAFFIC  SOURCES  WITH  EVIDENCE</t>
  </si>
  <si>
    <t xml:space="preserve">Est. Annual Volume</t>
  </si>
  <si>
    <t xml:space="preserve">Evidence / Proxy</t>
  </si>
  <si>
    <t xml:space="preserve">CFC Footfall</t>
  </si>
  <si>
    <t xml:space="preserve">Casablanca Finance City passersby</t>
  </si>
  <si>
    <t xml:space="preserve">CFC quarterly footfall reports · adjacent-venue analytics</t>
  </si>
  <si>
    <t xml:space="preserve">Assumed</t>
  </si>
  <si>
    <t xml:space="preserve">Schools (K-12)</t>
  </si>
  <si>
    <t xml:space="preserve">Casa-Settat region K-12 enrollment</t>
  </si>
  <si>
    <t xml:space="preserve">Ministry of Education statistics · pre-existing Pixoul Abu Dhabi school program (100+ partnerships)</t>
  </si>
  <si>
    <t xml:space="preserve">Corporates</t>
  </si>
  <si>
    <t xml:space="preserve">Casa businesses 10+ FTE</t>
  </si>
  <si>
    <t xml:space="preserve">CCISCA Casablanca Chamber of Commerce registry · CFC tenant list</t>
  </si>
  <si>
    <t xml:space="preserve">Tourists</t>
  </si>
  <si>
    <t xml:space="preserve">Casa annual visitors</t>
  </si>
  <si>
    <t xml:space="preserve">ONMT (Office National Marocain du Tourisme) annual stats · Hassan II Mosque visitor data</t>
  </si>
  <si>
    <t xml:space="preserve">Gamers (regional)</t>
  </si>
  <si>
    <t xml:space="preserve">Morocco regional gaming TAM</t>
  </si>
  <si>
    <t xml:space="preserve">Newzoo Morocco gaming market report · MGE attendance data</t>
  </si>
  <si>
    <t xml:space="preserve">◆  SECTION  2  —  PRE-LAUNCH  PIPELINE  (placeholder · fill in named accounts)</t>
  </si>
  <si>
    <t xml:space="preserve">▼ Schools (target: 20+ partnerships pre-launch)</t>
  </si>
  <si>
    <t xml:space="preserve">School Name</t>
  </si>
  <si>
    <t xml:space="preserve">Est. Students</t>
  </si>
  <si>
    <t xml:space="preserve">[School Name 1] — to be filled</t>
  </si>
  <si>
    <t xml:space="preserve">[Assumed / In discussion / Secured]</t>
  </si>
  <si>
    <t xml:space="preserve">[N students]</t>
  </si>
  <si>
    <t xml:space="preserve">[School Name 2] — to be filled</t>
  </si>
  <si>
    <t xml:space="preserve">[School Name 3] — to be filled</t>
  </si>
  <si>
    <t xml:space="preserve">[School Name 4] — to be filled</t>
  </si>
  <si>
    <t xml:space="preserve">[School Name 5] — to be filled</t>
  </si>
  <si>
    <t xml:space="preserve">▼ Corporates (target: 10+ B2B accounts pre-launch)</t>
  </si>
  <si>
    <t xml:space="preserve">Corporate Name</t>
  </si>
  <si>
    <t xml:space="preserve">Est. $</t>
  </si>
  <si>
    <t xml:space="preserve">[Corporate Name 1] — to be filled</t>
  </si>
  <si>
    <t xml:space="preserve">[Annual $]</t>
  </si>
  <si>
    <t xml:space="preserve">[Corporate Name 2] — to be filled</t>
  </si>
  <si>
    <t xml:space="preserve">[Corporate Name 3] — to be filled</t>
  </si>
  <si>
    <t xml:space="preserve">[Corporate Name 4] — to be filled</t>
  </si>
  <si>
    <t xml:space="preserve">[Corporate Name 5] — to be filled</t>
  </si>
  <si>
    <t xml:space="preserve">▼ Events Pipeline (target: anchor events Y1 calendar)</t>
  </si>
  <si>
    <t xml:space="preserve">Event Name / Type</t>
  </si>
  <si>
    <t xml:space="preserve">[Event 1] — to be filled</t>
  </si>
  <si>
    <t xml:space="preserve">[Date]</t>
  </si>
  <si>
    <t xml:space="preserve">[Status]</t>
  </si>
  <si>
    <t xml:space="preserve">[Event 2] — to be filled</t>
  </si>
  <si>
    <t xml:space="preserve">[Event 3] — to be filled</t>
  </si>
  <si>
    <t xml:space="preserve">[Event 4] — to be filled</t>
  </si>
  <si>
    <t xml:space="preserve">[Event 5] — to be filled</t>
  </si>
  <si>
    <t xml:space="preserve">⊙ AUDIT NOTE: Volumes pulled from market intelligence sources. Pipeline placeholders are TO BE FILLED with named school/corporate/event accounts as commercial discussions advance. Status field uses controlled values: Assumed (no contact yet) · In discussion (active outreach) · Secured (LOI/contract signed).</t>
  </si>
  <si>
    <t xml:space="preserve">  EVENT ENGINE — Recurring System View</t>
  </si>
  <si>
    <t xml:space="preserve">  Events as a SYSTEM, not ad-hoc sales · Live-linked to Events · Drivers</t>
  </si>
  <si>
    <t xml:space="preserve">◆  EVENTS  STRUCTURED  AS  RECURRING  ENGINE</t>
  </si>
  <si>
    <t xml:space="preserve">Frequency</t>
  </si>
  <si>
    <t xml:space="preserve">Volume / Year</t>
  </si>
  <si>
    <t xml:space="preserve">Revenue Contribution</t>
  </si>
  <si>
    <t xml:space="preserve">Repeatability</t>
  </si>
  <si>
    <t xml:space="preserve">▼ WEEKLY RECURRING FORMATS</t>
  </si>
  <si>
    <t xml:space="preserve">  Friday community gaming nights</t>
  </si>
  <si>
    <t xml:space="preserve">52/yr</t>
  </si>
  <si>
    <t xml:space="preserve">  Saturday family event hub</t>
  </si>
  <si>
    <t xml:space="preserve">  Wednesday after-school showcase</t>
  </si>
  <si>
    <t xml:space="preserve">40/yr</t>
  </si>
  <si>
    <t xml:space="preserve">▼ MONTHLY ANCHOR EVENTS</t>
  </si>
  <si>
    <t xml:space="preserve">  Esports tournament (monthly)</t>
  </si>
  <si>
    <t xml:space="preserve">12/yr</t>
  </si>
  <si>
    <t xml:space="preserve">  Corporate gaming night</t>
  </si>
  <si>
    <t xml:space="preserve">  Industry meet-up / launch</t>
  </si>
  <si>
    <t xml:space="preserve">8/yr</t>
  </si>
  <si>
    <t xml:space="preserve">▼ CORPORATE PIPELINE (custom)</t>
  </si>
  <si>
    <t xml:space="preserve">  Corporate teambuilding</t>
  </si>
  <si>
    <t xml:space="preserve">  Brand activations / launches</t>
  </si>
  <si>
    <t xml:space="preserve">  Conferences / summits</t>
  </si>
  <si>
    <t xml:space="preserve">⊙ NARRATIVE: Events are NOT ad-hoc sales. Weekly + monthly recurring formats provide a predictable base. Corporate pipeline is the upside layer. Live links to Events · Drivers!C29 (events/mo) and C36 (avg revenue/event) ensure volumes flow from the master Events demand engine. For live event count, see Events · Drivers row 32.</t>
  </si>
  <si>
    <t xml:space="preserve">  F&amp;B ATTACHMENT LOGIC</t>
  </si>
  <si>
    <t xml:space="preserve">  F&amp;B is structurally attached to other pillars · Not optional · Live-linked</t>
  </si>
  <si>
    <t xml:space="preserve">◆  F&amp;B  ATTACHMENT  —  PRE-ATTACHED  REVENUE  STREAMS</t>
  </si>
  <si>
    <t xml:space="preserve">Attachment Type</t>
  </si>
  <si>
    <t xml:space="preserve">Y4 Revenue Link</t>
  </si>
  <si>
    <t xml:space="preserve">Gaming → F&amp;B</t>
  </si>
  <si>
    <t xml:space="preserve">Active gamers grab snacks/drinks during/after sessions</t>
  </si>
  <si>
    <t xml:space="preserve">Events → F&amp;B (catering)</t>
  </si>
  <si>
    <t xml:space="preserve">Events catering BUNDLED with venue rental</t>
  </si>
  <si>
    <t xml:space="preserve">Academy → F&amp;B</t>
  </si>
  <si>
    <t xml:space="preserve">Students grab food between/after classes</t>
  </si>
  <si>
    <t xml:space="preserve">0.30</t>
  </si>
  <si>
    <t xml:space="preserve">Museum → F&amp;B</t>
  </si>
  <si>
    <t xml:space="preserve">Museum visitors → café spend</t>
  </si>
  <si>
    <t xml:space="preserve">Esports → F&amp;B</t>
  </si>
  <si>
    <t xml:space="preserve">Esports lounge members during gaming sessions</t>
  </si>
  <si>
    <t xml:space="preserve">0.40</t>
  </si>
  <si>
    <t xml:space="preserve">⊙  KEY MESSAGE  —  MAJORITY OF F&amp;B IS PRE-ATTACHED, NOT OPTIONAL</t>
  </si>
  <si>
    <t xml:space="preserve">Events catering (85% conversion) and Gaming/Academy/Museum/Esports cross-pillar flows mean ~70% of F&amp;B revenue is captured from existing complex foot traffic. Standalone walk-in F&amp;B revenue is the smaller component. This structural attachment de-risks F&amp;B as a standalone retail bet — it is fundamentally a service layer attached to existing demand drivers.</t>
  </si>
  <si>
    <t xml:space="preserve">  ACADEMY STRUCTURE — B2C Base + B2B Upside</t>
  </si>
  <si>
    <t xml:space="preserve">  Base case stands without B2B · 6 specialized labs · 8 classrooms · Coworking complex</t>
  </si>
  <si>
    <t xml:space="preserve">◆  B2C  —  BASE  CASE  (must stand on its own)</t>
  </si>
  <si>
    <t xml:space="preserve">Active students / month</t>
  </si>
  <si>
    <t xml:space="preserve">Academy · Drivers!C60</t>
  </si>
  <si>
    <t xml:space="preserve">Sessions / student / month</t>
  </si>
  <si>
    <t xml:space="preserve">Academy · Drivers!C55</t>
  </si>
  <si>
    <t xml:space="preserve">Total student-sessions / month</t>
  </si>
  <si>
    <t xml:space="preserve">Academy · Drivers!C56</t>
  </si>
  <si>
    <t xml:space="preserve">Average price / session</t>
  </si>
  <si>
    <t xml:space="preserve">Academy · Drivers!C26</t>
  </si>
  <si>
    <t xml:space="preserve">B2C blended Y4 revenue</t>
  </si>
  <si>
    <t xml:space="preserve">Est. ~78% of pillar (B2C share)</t>
  </si>
  <si>
    <t xml:space="preserve">◆  CAPACITY  (link to schedule)</t>
  </si>
  <si>
    <t xml:space="preserve">  8 classrooms (390 seats) + 6 specialized labs (92 seats) = 482 academic seats</t>
  </si>
  <si>
    <t xml:space="preserve">  See: Academy · Drivers (capacity engine rows 38-50) and Academy · Weekly Schedule</t>
  </si>
  <si>
    <t xml:space="preserve">◆  B2B  —  UPSIDE  (Corporate · Government · Custom)</t>
  </si>
  <si>
    <t xml:space="preserve">Value / Status</t>
  </si>
  <si>
    <t xml:space="preserve">Corporate Training sessions / month (model)</t>
  </si>
  <si>
    <t xml:space="preserve">Active corporate sessions</t>
  </si>
  <si>
    <t xml:space="preserve">B2B funnel delivers (after +1 BD FTE)</t>
  </si>
  <si>
    <t xml:space="preserve">B2B sales engine</t>
  </si>
  <si>
    <t xml:space="preserve">Avg price / corporate session</t>
  </si>
  <si>
    <t xml:space="preserve">Active corp price</t>
  </si>
  <si>
    <t xml:space="preserve">Government Programs</t>
  </si>
  <si>
    <t xml:space="preserve">[Pipeline · placeholder]</t>
  </si>
  <si>
    <t xml:space="preserve">Ministry partnerships in discussion</t>
  </si>
  <si>
    <t xml:space="preserve">Custom Contracts</t>
  </si>
  <si>
    <t xml:space="preserve">Bespoke programs (TBC)</t>
  </si>
  <si>
    <t xml:space="preserve">  SPONSORSHIP STRUCTURE</t>
  </si>
  <si>
    <t xml:space="preserve">  Asset-based sponsorship · Multi-stream diversification · Base case excludes aggressive assumptions</t>
  </si>
  <si>
    <t xml:space="preserve">◆  SPONSORSHIP  ASSETS  (Asset → Type → Revenue → Dependency)</t>
  </si>
  <si>
    <t xml:space="preserve">Asset</t>
  </si>
  <si>
    <t xml:space="preserve">Type</t>
  </si>
  <si>
    <t xml:space="preserve"># Deals</t>
  </si>
  <si>
    <t xml:space="preserve">Dependency</t>
  </si>
  <si>
    <t xml:space="preserve">  Title Sponsor (Arena Naming)</t>
  </si>
  <si>
    <t xml:space="preserve">Single anchor deal</t>
  </si>
  <si>
    <t xml:space="preserve">BINARY · single deal</t>
  </si>
  <si>
    <t xml:space="preserve">  Zone Sponsors (Lab Naming)</t>
  </si>
  <si>
    <t xml:space="preserve">Multi-zone deals</t>
  </si>
  <si>
    <t xml:space="preserve">Diversified · 3 zones</t>
  </si>
  <si>
    <t xml:space="preserve">  Event Sponsors (Tournaments)</t>
  </si>
  <si>
    <t xml:space="preserve">Per-event deals</t>
  </si>
  <si>
    <t xml:space="preserve">Distributed · 5 events/yr</t>
  </si>
  <si>
    <t xml:space="preserve">  Activations (Brand experiences)</t>
  </si>
  <si>
    <t xml:space="preserve">Tactical campaigns</t>
  </si>
  <si>
    <t xml:space="preserve">Spread across year</t>
  </si>
  <si>
    <t xml:space="preserve">  Naming Rights (Spaces)</t>
  </si>
  <si>
    <t xml:space="preserve">Long-term naming</t>
  </si>
  <si>
    <t xml:space="preserve">Premium · 2 spaces</t>
  </si>
  <si>
    <t xml:space="preserve">  TOTAL SPONSORSHIP REVENUE</t>
  </si>
  <si>
    <t xml:space="preserve">  MUSEUM — STRATEGIC PILLAR (not margin driver)</t>
  </si>
  <si>
    <t xml:space="preserve">  Cultural anchor · Traffic feeder · School programs · Ecosystem heart</t>
  </si>
  <si>
    <t xml:space="preserve">◆  ROLE  IN  THE  ECOSYSTEM</t>
  </si>
  <si>
    <t xml:space="preserve">Museum is positioned as a STRATEGIC pillar, not a profit center. Standalone margin (24.7%) is light; ecosystem value is significant. Investors should evaluate Museum on cross-pillar contribution + brand differentiation, not standalone EBITDA.</t>
  </si>
  <si>
    <t xml:space="preserve">◆  TRAFFIC  CONTRIBUTION  (live-linked)</t>
  </si>
  <si>
    <t xml:space="preserve">Annual standalone visitors</t>
  </si>
  <si>
    <t xml:space="preserve">Museum · Drivers!C49</t>
  </si>
  <si>
    <t xml:space="preserve">Annual cross-pillar visitors</t>
  </si>
  <si>
    <t xml:space="preserve">Museum · Drivers!C54</t>
  </si>
  <si>
    <t xml:space="preserve">Total annual visitors</t>
  </si>
  <si>
    <t xml:space="preserve">Museum · Drivers!C55</t>
  </si>
  <si>
    <t xml:space="preserve">School/student program visitors</t>
  </si>
  <si>
    <t xml:space="preserve">7,500 (25% of standalone)</t>
  </si>
  <si>
    <t xml:space="preserve">Mix from Drivers</t>
  </si>
  <si>
    <t xml:space="preserve">◆  CONVERSION  DOWNSTREAM  (Museum → F&amp;B + Academy)</t>
  </si>
  <si>
    <t xml:space="preserve">Conversion</t>
  </si>
  <si>
    <t xml:space="preserve">Rate</t>
  </si>
  <si>
    <t xml:space="preserve">Y4 $ Impact</t>
  </si>
  <si>
    <t xml:space="preserve">F&amp;B (informational, conservative exclusion)</t>
  </si>
  <si>
    <t xml:space="preserve">Museum → Academy (lead-gen)</t>
  </si>
  <si>
    <t xml:space="preserve">~5% of school visitors</t>
  </si>
  <si>
    <t xml:space="preserve">Qual</t>
  </si>
  <si>
    <t xml:space="preserve">Academy enrolment funnel</t>
  </si>
  <si>
    <t xml:space="preserve">Museum → Brand awareness</t>
  </si>
  <si>
    <t xml:space="preserve">All visitors</t>
  </si>
  <si>
    <t xml:space="preserve">Reduces marketing spend platform-wide</t>
  </si>
  <si>
    <t xml:space="preserve">◆  STANDALONE  ECONOMICS  (for transparency)</t>
  </si>
  <si>
    <t xml:space="preserve">Y4 Value</t>
  </si>
  <si>
    <t xml:space="preserve">Cost</t>
  </si>
  <si>
    <t xml:space="preserve">⊙ INVESTOR FRAMING: "Strategic pillar, not margin driver." Museum drives cross-pillar foot traffic + school partnerships + brand IP that enables Sponsorships pricing power. The 24.7% margin is the price of cultural anchor positioning — and is conservative even after right-sizing to 80 visitors/day + 5 FTEs. In ecosystem context, Museum is the platform's heart, not its wallet.</t>
  </si>
  <si>
    <t xml:space="preserve">  SUPPORTING  SCHEDULES  —  D&amp;A · Debt Amortization · Working Capital</t>
  </si>
  <si>
    <t xml:space="preserve">  Inputs to Consolidated P&amp;L, Cash Flow, and Balance Sheet</t>
  </si>
  <si>
    <t xml:space="preserve">Schedule Item</t>
  </si>
  <si>
    <t xml:space="preserve">◆  DEPRECIATION  &amp;  AMORTIZATION  SCHEDULE  (Straight-line, less conservative useful lives)</t>
  </si>
  <si>
    <t xml:space="preserve">Fit out (CapEx $3.85M ÷ 15yr useful life)</t>
  </si>
  <si>
    <t xml:space="preserve">Equipment+Gaming (10yr) + Software+Pre-launch (7yr)</t>
  </si>
  <si>
    <t xml:space="preserve">  Opening balance</t>
  </si>
  <si>
    <t xml:space="preserve">  Interest expense (7% × opening balance)</t>
  </si>
  <si>
    <t xml:space="preserve">  Principal repayment (level: loan/7)</t>
  </si>
  <si>
    <t xml:space="preserve">  Closing balance</t>
  </si>
  <si>
    <t xml:space="preserve">◆  SUPPLIERS  DEBT  AMORTIZATION  ($1.5M / 3yr / 0% interest)</t>
  </si>
  <si>
    <t xml:space="preserve">◆  TOTAL  DEBT  ROLL-FORWARD  (Equipment Loan + Suppliers + Working Capital Facility)</t>
  </si>
  <si>
    <t xml:space="preserve">  Total debt outstanding (end of year)</t>
  </si>
  <si>
    <t xml:space="preserve">  Total principal payments (year)</t>
  </si>
  <si>
    <t xml:space="preserve">◆  WORKING  CAPITAL  FACILITY  AMORTIZATION  ($587.2K @ 8% × 5yr level)</t>
  </si>
  <si>
    <t xml:space="preserve">  Interest expense (8% × opening)</t>
  </si>
  <si>
    <t xml:space="preserve">  Principal repayment (level: loan/5)</t>
  </si>
  <si>
    <t xml:space="preserve">  SOURCE  CITATIONS  —  Driver Justification &amp; Defendability</t>
  </si>
  <si>
    <t xml:space="preserve">  Top 20 model drivers · Source category · Confidence level · For PwC review and investor due diligence</t>
  </si>
  <si>
    <t xml:space="preserve">◆  SOURCE  CATEGORIES</t>
  </si>
  <si>
    <t xml:space="preserve">🅐  Pixoul AD comp</t>
  </si>
  <si>
    <t xml:space="preserve">Direct comparable from operating Pixoul Abu Dhabi venue (5+ years operating data)</t>
  </si>
  <si>
    <t xml:space="preserve">🅑  Industry benchmark</t>
  </si>
  <si>
    <t xml:space="preserve">Published FEC / experiential venue benchmarks (IAAPA, Bowlero, Round1, KidZania publicly disclosed metrics)</t>
  </si>
  <si>
    <t xml:space="preserve">🅒  Casa market study</t>
  </si>
  <si>
    <t xml:space="preserve">Morocco-specific market research, Casa retail/leisure data, World Bank GDP per capita comp</t>
  </si>
  <si>
    <t xml:space="preserve">🅓  Government / signed</t>
  </si>
  <si>
    <t xml:space="preserve">SMIT MOU figures, ministry LOIs, signed sponsor commitments — contractually defensible</t>
  </si>
  <si>
    <t xml:space="preserve">🅔  Management estimate</t>
  </si>
  <si>
    <t xml:space="preserve">Bottom-up from operational planning + experience — defensible but subjective</t>
  </si>
  <si>
    <t xml:space="preserve">◆  DRIVER  CITATIONS  (sorted by sensitivity rank)</t>
  </si>
  <si>
    <t xml:space="preserve">Confidence</t>
  </si>
  <si>
    <t xml:space="preserve">Defendability Notes</t>
  </si>
  <si>
    <t xml:space="preserve">6 events</t>
  </si>
  <si>
    <t xml:space="preserve">🅐 Pixoul AD comp</t>
  </si>
  <si>
    <t xml:space="preserve">Pixoul Abu Dhabi 2024-2025 actuals: 5-7 corp events/mo average. Casa market estimate -33% to 4/mo Base reflects new venue ramp. SOURCE: Pixoul AD audited financials FY2024 (available in DD room).</t>
  </si>
  <si>
    <t xml:space="preserve">  Title sponsor probability</t>
  </si>
  <si>
    <t xml:space="preserve">30% close</t>
  </si>
  <si>
    <t xml:space="preserve">🅓 Government / signed</t>
  </si>
  <si>
    <t xml:space="preserve">TIGHTENED v54: 50%→30% pre-launch close prob. SOURCE: 4 ministry LOIs signed Mar 20, 2026 (Culture, Tourism/SMIT DG Imad Barrakad, Education, Youth/Sports). Title sponsor pipeline: 3 candidates in active discussions, none signed. Probability reflects pre-opening uncertainty.</t>
  </si>
  <si>
    <t xml:space="preserve">195 students</t>
  </si>
  <si>
    <t xml:space="preserve">Pixoul AD has 250+ active. Casa adjusted -15% for slower private education adoption + lower household spend.</t>
  </si>
  <si>
    <t xml:space="preserve">  F&amp;B conversion (% of Gaming visitors)</t>
  </si>
  <si>
    <t xml:space="preserve">🅑 Industry benchmark</t>
  </si>
  <si>
    <t xml:space="preserve">IAAPA FEC benchmark range 25-35%. Bowlero discloses 28% conversion. Casa F&amp;B operator industry standard.</t>
  </si>
  <si>
    <t xml:space="preserve">900 visitors</t>
  </si>
  <si>
    <t xml:space="preserve">🅒 Casa market study</t>
  </si>
  <si>
    <t xml:space="preserve">Pixoul AD has 1,400 visitors/wk mature. Casa adjusted -36% reflecting: Casa population 3.4M (vs Abu Dhabi 1.5M urban) BUT lower disposable income/discretionary spend (Casa GDP per capita $4,500 vs AD $90K+). Net: lower-volume, value-tier positioning. SOURCE: HCP Morocco demographic data, BMI Casa retail leisure study.</t>
  </si>
  <si>
    <t xml:space="preserve">Gaming</t>
  </si>
  <si>
    <t xml:space="preserve">Pixoul AD esports lounge 45%. Reduced 5pp for 16 new public Casa centers as competitive headwind.</t>
  </si>
  <si>
    <t xml:space="preserve">80 visitors</t>
  </si>
  <si>
    <t xml:space="preserve">Comparable to Boulevard Museum Casa (~120/day) and Mohammed VI Museum (~200/day). Conservative.</t>
  </si>
  <si>
    <t xml:space="preserve">  VR blended PPP</t>
  </si>
  <si>
    <t xml:space="preserve">$9.30</t>
  </si>
  <si>
    <t xml:space="preserve">IMAX VR $15-20, Dave &amp; Buster $8-12, Round1 $10-15. Pixoul AD blended $11. Casa adjusted to $9.30.</t>
  </si>
  <si>
    <t xml:space="preserve">  Arcade play price (premium)</t>
  </si>
  <si>
    <t xml:space="preserve">$5/play</t>
  </si>
  <si>
    <t xml:space="preserve">Round1 $4-6/play, Dave &amp; Buster $3-5/play. Premium cabinets justify upper range.</t>
  </si>
  <si>
    <t xml:space="preserve">$285K</t>
  </si>
  <si>
    <t xml:space="preserve">🅔 Management estimate</t>
  </si>
  <si>
    <t xml:space="preserve">3-4 traveling exhibits/year × $70-90K each. New revenue stream — not yet validated.</t>
  </si>
  <si>
    <t xml:space="preserve">  Subleasing F&amp;B operator share</t>
  </si>
  <si>
    <t xml:space="preserve">Mall food court rev share 6-10%. Premium positioning at Pixoul justifies 8%.</t>
  </si>
  <si>
    <t xml:space="preserve">  Group Overhead</t>
  </si>
  <si>
    <t xml:space="preserve">$675,832</t>
  </si>
  <si>
    <t xml:space="preserve">Includes facility rent ($186K) + utilities ($140K) + corporate functions ($350K). Pixoul AD comp validates.</t>
  </si>
  <si>
    <t xml:space="preserve">Group</t>
  </si>
  <si>
    <t xml:space="preserve">  Cash CapEx (Investor Deployment)</t>
  </si>
  <si>
    <t xml:space="preserve">HIGHEST</t>
  </si>
  <si>
    <t xml:space="preserve">  Lessor contribution</t>
  </si>
  <si>
    <t xml:space="preserve">  SMIT direct subsidy</t>
  </si>
  <si>
    <t xml:space="preserve">12% capex</t>
  </si>
  <si>
    <t xml:space="preserve">SMIT MoU signed early 2026. Pixoul selected from 50+ applicants for Morocco Ministry of Tourism Investment Charter. 12-15% direct CapEx subsidy + 5yr corporate tax exemption + VAT exemption. SOURCE: SMIT MoU, Charte de l'Investissement program documentation (publicly available via SMIT website).</t>
  </si>
  <si>
    <t xml:space="preserve">7%</t>
  </si>
  <si>
    <t xml:space="preserve">Term sheet signed Apr 2026 with regional lender (UAE-Morocco SPV structure). 7yr 7% APR. Collateral: equipment. SOURCE: signed term sheet (DD room access).</t>
  </si>
  <si>
    <t xml:space="preserve">Capital</t>
  </si>
  <si>
    <t xml:space="preserve">  Round 1 equity %</t>
  </si>
  <si>
    <t xml:space="preserve">  Y4 mature utilization (Gaming)</t>
  </si>
  <si>
    <t xml:space="preserve">Pixoul AD reaches 100% by Y4 of operations. Casa expected to follow similar curve given comparable market education.</t>
  </si>
  <si>
    <t xml:space="preserve">  Y1 ramp utilization</t>
  </si>
  <si>
    <t xml:space="preserve">IAAPA new venue Y1 benchmark: 60-75% of mature. KidZania new openings average 70-72%. Conservative midpoint.</t>
  </si>
  <si>
    <t xml:space="preserve">All</t>
  </si>
  <si>
    <t xml:space="preserve">  Annual price increase</t>
  </si>
  <si>
    <t xml:space="preserve">3%</t>
  </si>
  <si>
    <t xml:space="preserve">Standard inflation pass-through for entertainment. Morocco CPI 2.5-4% historical. Conservative.</t>
  </si>
  <si>
    <t xml:space="preserve">◆  CITATION  COVERAGE  SUMMARY</t>
  </si>
  <si>
    <t xml:space="preserve">  By source category</t>
  </si>
  <si>
    <t xml:space="preserve">Pixoul AD comp: 5 · Government / signed: 5 · Industry benchmark: 6 · Casa market study: 2 · Management estimate: 2</t>
  </si>
  <si>
    <t xml:space="preserve">  By confidence</t>
  </si>
  <si>
    <t xml:space="preserve">HIGH: 11 · MEDIUM: 5 · HIGHEST: 3 · LOW: 1</t>
  </si>
  <si>
    <t xml:space="preserve">  Overall</t>
  </si>
  <si>
    <t xml:space="preserve">15/20 drivers (75%) at HIGH or HIGHEST confidence — investor-grade after v55 source upgrade. 11 external verifiable references added.</t>
  </si>
  <si>
    <t xml:space="preserve">◆  EXTERNAL  VERIFIABLE  REFERENCES  (independent third-party sources for DD)</t>
  </si>
  <si>
    <t xml:space="preserve">Topic</t>
  </si>
  <si>
    <t xml:space="preserve">Claim / Data</t>
  </si>
  <si>
    <t xml:space="preserve">Access</t>
  </si>
  <si>
    <t xml:space="preserve">Morocco World Cup 2030</t>
  </si>
  <si>
    <t xml:space="preserve">$23B+ Morocco infrastructure spend committed</t>
  </si>
  <si>
    <t xml:space="preserve">Morocco World News, MIPA Institute, DLA Piper (Real Estate Gazette)</t>
  </si>
  <si>
    <t xml:space="preserve">Public — verifiable</t>
  </si>
  <si>
    <t xml:space="preserve">BVC IPO market activity</t>
  </si>
  <si>
    <t xml:space="preserve">SGTM IPO Dec 2025: 34.1× oversubscribed, MAD 5.04B raised; Cash Plus 64× oversub; Vicenne 2025</t>
  </si>
  <si>
    <t xml:space="preserve">Casablanca Stock Exchange announcements, AMMC filings</t>
  </si>
  <si>
    <t xml:space="preserve">RISMA comp (Moroccan leisure)</t>
  </si>
  <si>
    <t xml:space="preserve">P/E 18.45×, market cap MAD 4.37B</t>
  </si>
  <si>
    <t xml:space="preserve">Bourse de Casablanca (Ticker: RIS)</t>
  </si>
  <si>
    <t xml:space="preserve">Morocco tourism trajectory</t>
  </si>
  <si>
    <t xml:space="preserve">15.9M visitors 2024 → target 26M by 2030</t>
  </si>
  <si>
    <t xml:space="preserve">Ministère du Tourisme Morocco</t>
  </si>
  <si>
    <t xml:space="preserve">Morocco GDP doubling</t>
  </si>
  <si>
    <t xml:space="preserve">GDP $130B 2024 → target $260B by 2035</t>
  </si>
  <si>
    <t xml:space="preserve">IMF Morocco Article IV consultation</t>
  </si>
  <si>
    <t xml:space="preserve">Morocco AFCON 2025</t>
  </si>
  <si>
    <t xml:space="preserve">Dec 2025 host, dry run for World Cup 2030</t>
  </si>
  <si>
    <t xml:space="preserve">CAF (Confederation of African Football)</t>
  </si>
  <si>
    <t xml:space="preserve">Morocco €2B Eurobond Mar 2025</t>
  </si>
  <si>
    <t xml:space="preserve">3× oversubscribed (€6.75B bids for €2B)</t>
  </si>
  <si>
    <t xml:space="preserve">Reuters, FT, Morocco Ministry of Finance</t>
  </si>
  <si>
    <t xml:space="preserve">SMIT investment program</t>
  </si>
  <si>
    <t xml:space="preserve">Charte de l'Investissement, 15% capex subsidy framework</t>
  </si>
  <si>
    <t xml:space="preserve">SMIT (Société Marocaine d'Ingénierie Touristique) website</t>
  </si>
  <si>
    <t xml:space="preserve">Pixoul Abu Dhabi performance</t>
  </si>
  <si>
    <t xml:space="preserve">10,000+ students, 150,000+ visitors, 100+ school partnerships</t>
  </si>
  <si>
    <t xml:space="preserve">Pixoul AD audited financials FY2024 (DD room)</t>
  </si>
  <si>
    <t xml:space="preserve">Private — DD access</t>
  </si>
  <si>
    <t xml:space="preserve">Government LOIs (4 ministries)</t>
  </si>
  <si>
    <t xml:space="preserve">Culture, Tourism/SMIT (DG Imad Barrakad), Education, Youth/Sports — signed Mar 20, 2026</t>
  </si>
  <si>
    <t xml:space="preserve">Original LOI documents</t>
  </si>
  <si>
    <t xml:space="preserve">FRMJE federation engagement</t>
  </si>
  <si>
    <t xml:space="preserve">Hicham El Khlifi (President FRMJE + ACDS) — esports federation partnership in discussion</t>
  </si>
  <si>
    <t xml:space="preserve">Federation correspondence</t>
  </si>
  <si>
    <t xml:space="preserve">  DRIVER  SOURCES  &amp;  CONFIDENCE  —  Provenance Map for Key Assumptions</t>
  </si>
  <si>
    <t xml:space="preserve">  Every key driver mapped to its source · Color-coded by category · Confidence rated · Defensible to PwC / IFC / family office DD</t>
  </si>
  <si>
    <t xml:space="preserve">◆  SOURCE  CATEGORY  LEGEND</t>
  </si>
  <si>
    <t xml:space="preserve">  PIXOUL AD COMP</t>
  </si>
  <si>
    <t xml:space="preserve">  ⊙ Drawn from Pixoul Abu Dhabi 5-year operating data — strongest empirical basis</t>
  </si>
  <si>
    <t xml:space="preserve">  INDUSTRY BENCHMARK</t>
  </si>
  <si>
    <t xml:space="preserve">  ⊙ Sourced from FEC industry research / public comps / IBISWorld</t>
  </si>
  <si>
    <t xml:space="preserve">  CASA MARKET STUDY</t>
  </si>
  <si>
    <t xml:space="preserve">  ⊙ Casablanca-specific: tourism stats, demographic, competitor pricing</t>
  </si>
  <si>
    <t xml:space="preserve">  MANAGEMENT ESTIMATE</t>
  </si>
  <si>
    <t xml:space="preserve">  ⊙ Founder/operator judgment — needs validation in Y1</t>
  </si>
  <si>
    <t xml:space="preserve">◆  KEY  DRIVER  PROVENANCE  TABLE</t>
  </si>
  <si>
    <t xml:space="preserve">Base Value</t>
  </si>
  <si>
    <t xml:space="preserve">Model Cell</t>
  </si>
  <si>
    <t xml:space="preserve">Source Category</t>
  </si>
  <si>
    <t xml:space="preserve">Specific Source</t>
  </si>
  <si>
    <t xml:space="preserve">  Weekly footfall</t>
  </si>
  <si>
    <t xml:space="preserve">Gaming · Drivers!C15</t>
  </si>
  <si>
    <t xml:space="preserve">PIXOUL AD COMP</t>
  </si>
  <si>
    <t xml:space="preserve">Pixoul AD year-3 mature: ~1,200/wk. Casa adjusted to 75% (smaller initial market)</t>
  </si>
  <si>
    <t xml:space="preserve">High</t>
  </si>
  <si>
    <t xml:space="preserve">  Avg spend per visitor</t>
  </si>
  <si>
    <t xml:space="preserve">$18.75</t>
  </si>
  <si>
    <t xml:space="preserve">Gaming · Drivers!C7-C16</t>
  </si>
  <si>
    <t xml:space="preserve">Pixoul AD Y3 actual: $19-22 blended. Casa pricing index ~85% of UAE = $16-19</t>
  </si>
  <si>
    <t xml:space="preserve">  VR allocation %</t>
  </si>
  <si>
    <t xml:space="preserve">45%</t>
  </si>
  <si>
    <t xml:space="preserve">Gaming · Drivers!C18</t>
  </si>
  <si>
    <t xml:space="preserve">INDUSTRY BENCHMARK</t>
  </si>
  <si>
    <t xml:space="preserve">Round1, Dave &amp; Buster's VR-forward FEC: VR ~40-50% of Gaming hall revenue</t>
  </si>
  <si>
    <t xml:space="preserve">Medium</t>
  </si>
  <si>
    <t xml:space="preserve">  VR bundle adoption %</t>
  </si>
  <si>
    <t xml:space="preserve">Gaming · Drivers!D9</t>
  </si>
  <si>
    <t xml:space="preserve">Pixoul AD bundle attach rate: 55-65% historically. Confirmed by GM Karim</t>
  </si>
  <si>
    <t xml:space="preserve">  VR PPP off-peak / peak</t>
  </si>
  <si>
    <t xml:space="preserve">$8 / $10</t>
  </si>
  <si>
    <t xml:space="preserve">Gaming · Drivers!D10</t>
  </si>
  <si>
    <t xml:space="preserve">CASA MARKET STUDY</t>
  </si>
  <si>
    <t xml:space="preserve">Casa competitor pricing: arcade pay-per-play $5-8 ranges. Pixoul premium positioning ≈ +$2</t>
  </si>
  <si>
    <t xml:space="preserve">Events · Drivers!C9</t>
  </si>
  <si>
    <t xml:space="preserve">Casa corporate events market: research with 12 major Casa employers (Maroc Telecom, Inwi, BMCE, etc.)</t>
  </si>
  <si>
    <t xml:space="preserve">  Avg corporate event fee</t>
  </si>
  <si>
    <t xml:space="preserve">$8,000</t>
  </si>
  <si>
    <t xml:space="preserve">Events · Drivers!C10</t>
  </si>
  <si>
    <t xml:space="preserve">Quote-based research: similar venues (Hyatt Casa, Sofitel Casa) charge $7-12K</t>
  </si>
  <si>
    <t xml:space="preserve">  Wedding events/year</t>
  </si>
  <si>
    <t xml:space="preserve">Events · Drivers!C13</t>
  </si>
  <si>
    <t xml:space="preserve">MANAGEMENT ESTIMATE</t>
  </si>
  <si>
    <t xml:space="preserve">Bassem Issa estimate based on Casa wedding market scale (~3,000+ weddings/yr in Casa)</t>
  </si>
  <si>
    <t xml:space="preserve">Low</t>
  </si>
  <si>
    <t xml:space="preserve">  Birthday parties/year</t>
  </si>
  <si>
    <t xml:space="preserve">Events · Drivers!C16</t>
  </si>
  <si>
    <t xml:space="preserve">Pixoul AD: 250-300/yr at maturity. Casa adjusted -25% for first year</t>
  </si>
  <si>
    <t xml:space="preserve">  Active students/month</t>
  </si>
  <si>
    <t xml:space="preserve">Academy · Drivers!D63</t>
  </si>
  <si>
    <t xml:space="preserve">Pixoul AD Y3 actual: 280 active. Casa year-1 = 70% target (165), Y3 = 195 (matures slower)</t>
  </si>
  <si>
    <t xml:space="preserve">  Avg monthly fee/student</t>
  </si>
  <si>
    <t xml:space="preserve">$90</t>
  </si>
  <si>
    <t xml:space="preserve">Academy · Drivers!D72</t>
  </si>
  <si>
    <t xml:space="preserve">Casa private school after-school programs: $60-120/mo. Coding camps premium ~$80-100</t>
  </si>
  <si>
    <t xml:space="preserve">  Lab program fee</t>
  </si>
  <si>
    <t xml:space="preserve">$120/student</t>
  </si>
  <si>
    <t xml:space="preserve">Academy · Drivers!D85</t>
  </si>
  <si>
    <t xml:space="preserve">Pixoul AD lab pricing matched to Casa with 10% discount</t>
  </si>
  <si>
    <t xml:space="preserve">  Summer camp fee/student</t>
  </si>
  <si>
    <t xml:space="preserve">$300</t>
  </si>
  <si>
    <t xml:space="preserve">Academy · Drivers!D212</t>
  </si>
  <si>
    <t xml:space="preserve">Pixoul AD summer camp: $400-600/wk. Casa camps shorter, lower price point</t>
  </si>
  <si>
    <t xml:space="preserve">  School partnerships/year</t>
  </si>
  <si>
    <t xml:space="preserve">Academy · Drivers!D215</t>
  </si>
  <si>
    <t xml:space="preserve">Toufic estimate: 38% of realistic max (51 BK schools). Pixoul UAE has 100+ — leverage</t>
  </si>
  <si>
    <t xml:space="preserve">  Lounge utilization %</t>
  </si>
  <si>
    <t xml:space="preserve">Esports · Drivers!D9</t>
  </si>
  <si>
    <t xml:space="preserve">PC bang/internet cafe industry research: mature operations 35-50%</t>
  </si>
  <si>
    <t xml:space="preserve">  Hourly rate</t>
  </si>
  <si>
    <t xml:space="preserve">$4</t>
  </si>
  <si>
    <t xml:space="preserve">Esports · Drivers!D10</t>
  </si>
  <si>
    <t xml:space="preserve">Survey of 8 Casa cybercafés: $2-5 typical. Pixoul positioned mid-market</t>
  </si>
  <si>
    <t xml:space="preserve">  Tournament events/month</t>
  </si>
  <si>
    <t xml:space="preserve">Esports · Drivers!D14</t>
  </si>
  <si>
    <t xml:space="preserve">Federation MOU enables ~6/mo theoretical. Conservative 4/mo for ramp</t>
  </si>
  <si>
    <t xml:space="preserve">  Visitors/day</t>
  </si>
  <si>
    <t xml:space="preserve">Museum · Drivers!D9</t>
  </si>
  <si>
    <t xml:space="preserve">Casa museum benchmarks: Cervantes Institute, Anfa Museum 60-150/day</t>
  </si>
  <si>
    <t xml:space="preserve">  Ticket price</t>
  </si>
  <si>
    <t xml:space="preserve">$12</t>
  </si>
  <si>
    <t xml:space="preserve">Museum · Drivers!D10</t>
  </si>
  <si>
    <t xml:space="preserve">Casa museum/exhibition pricing: $8-15. Premium experiential = top quartile</t>
  </si>
  <si>
    <t xml:space="preserve">F&amp;B · Drivers!D9</t>
  </si>
  <si>
    <t xml:space="preserve">FEC industry: 25-40% beverage attach rate, 15-25% food. Blended 30%</t>
  </si>
  <si>
    <t xml:space="preserve">  Avg ticket size</t>
  </si>
  <si>
    <t xml:space="preserve">$8</t>
  </si>
  <si>
    <t xml:space="preserve">F&amp;B · Drivers!D11</t>
  </si>
  <si>
    <t xml:space="preserve">Pixoul AD coffee shop: $7.50 avg. Casa adjusted slight premium for restaurant component</t>
  </si>
  <si>
    <t xml:space="preserve">  Coffee shop revenue share</t>
  </si>
  <si>
    <t xml:space="preserve">Subleasing · Drivers!D12</t>
  </si>
  <si>
    <t xml:space="preserve">Standard mall/venue coffee concession terms: 7-10%</t>
  </si>
  <si>
    <t xml:space="preserve">85%</t>
  </si>
  <si>
    <t xml:space="preserve">Subleasing · Drivers!D9</t>
  </si>
  <si>
    <t xml:space="preserve">Idriss confirmed 60% pre-leased; ramping to 85% Y2</t>
  </si>
  <si>
    <t xml:space="preserve">Sponsorships · Drivers!C9</t>
  </si>
  <si>
    <t xml:space="preserve">Toufic estimate based on 3 active conversations (Inwi, Maroc Telecom, OCP) — at least 1 expected</t>
  </si>
  <si>
    <t xml:space="preserve">  Title sponsor annual fee</t>
  </si>
  <si>
    <t xml:space="preserve">$200K</t>
  </si>
  <si>
    <t xml:space="preserve">Sponsorships · Drivers!C10</t>
  </si>
  <si>
    <t xml:space="preserve">Casa naming rights comparables: Maroc Telecom Stadium ($500K), local mall sponsorships ($150-250K)</t>
  </si>
  <si>
    <t xml:space="preserve">  Zone sponsorships count</t>
  </si>
  <si>
    <t xml:space="preserve">Sponsorships · Drivers!C12</t>
  </si>
  <si>
    <t xml:space="preserve">Toufic: 7 confirmed conversations + 3 prospects = 10 base case</t>
  </si>
  <si>
    <t xml:space="preserve">  Touring revenue/year</t>
  </si>
  <si>
    <t xml:space="preserve">Borderless · Drivers!C8</t>
  </si>
  <si>
    <t xml:space="preserve">Pixoul AD has done 4 touring exhibits in UAE region. Casa launches with 2-3 in Y1</t>
  </si>
  <si>
    <t xml:space="preserve">  WACC discount rate</t>
  </si>
  <si>
    <t xml:space="preserve">Financial</t>
  </si>
  <si>
    <t xml:space="preserve">NPV Sensitivity!C8</t>
  </si>
  <si>
    <t xml:space="preserve">FEC project WACC: Equipment Loan debt 7% × ~9% + Equity 15% × 70% = 12.6% (rounded 12.5%)</t>
  </si>
  <si>
    <t xml:space="preserve">  Tax rate (effective)</t>
  </si>
  <si>
    <t xml:space="preserve">15.5%</t>
  </si>
  <si>
    <t xml:space="preserve">NPV Sensitivity!C10</t>
  </si>
  <si>
    <t xml:space="preserve">Morocco IS 31% × ~50% effective (after SMIT 5-yr tax holiday + employment subsidies)</t>
  </si>
  <si>
    <t xml:space="preserve">  Terminal growth rate</t>
  </si>
  <si>
    <t xml:space="preserve">2.0%</t>
  </si>
  <si>
    <t xml:space="preserve">NPV Sensitivity!C9</t>
  </si>
  <si>
    <t xml:space="preserve">Long-run Moroccan GDP growth ~3.5%, inflation ~2%, real ~1.5%; conservative 2%</t>
  </si>
  <si>
    <t xml:space="preserve">  Total CapEx</t>
  </si>
  <si>
    <t xml:space="preserve">CapEx!E54</t>
  </si>
  <si>
    <t xml:space="preserve">  Equity raise (Round 1)</t>
  </si>
  <si>
    <t xml:space="preserve">$7.22M</t>
  </si>
  <si>
    <t xml:space="preserve">CapEx!D70</t>
  </si>
  <si>
    <t xml:space="preserve">◆  SUMMARY  STATISTICS</t>
  </si>
  <si>
    <t xml:space="preserve">Source mix:</t>
  </si>
  <si>
    <t xml:space="preserve">Confidence mix:</t>
  </si>
  <si>
    <t xml:space="preserve">◆  HOW  TO  USE  THIS  TAB</t>
  </si>
  <si>
    <t xml:space="preserve">⊙ For DD: Use "Model Cell" column (E) to navigate to the exact cell referenced. Sources documented = drivers defensible.</t>
  </si>
  <si>
    <t xml:space="preserve">⊙ HIGH confidence (green): Pixoul AD operating data, Industry benchmarks. Lowest risk for variance.</t>
  </si>
  <si>
    <t xml:space="preserve">⊙ MEDIUM confidence (amber): Casa market research, Industry mid-tier. Worth monitoring quarterly.</t>
  </si>
  <si>
    <t xml:space="preserve">⊙ LOW confidence (red): Management estimates needing Y1 validation. Most likely to require revision.</t>
  </si>
  <si>
    <t xml:space="preserve">⊙ Color of "Source Category" column (F) shows category strength: green (Pixoul AD) &gt; blue (Industry) &gt; amber (Casa) &gt; red (Mgmt est).</t>
  </si>
  <si>
    <t xml:space="preserve">⊙ For PwC review: Drivers with LOW confidence + HIGH NPV sensitivity (cross-ref NPV Sensitivity tab) need explicit hedging.</t>
  </si>
  <si>
    <t xml:space="preserve">⊙ For investor pitch: Top 5 drivers by confidence + impact = "deal anchors". Lead the narrative with these.</t>
  </si>
  <si>
    <t xml:space="preserve">  CHANGE  LOG  —  Model evolution and key decisions</t>
  </si>
  <si>
    <t xml:space="preserve">  Date · Version · Change · Impact · Status — Audit trail for PwC review and investor diligence</t>
  </si>
  <si>
    <t xml:space="preserve">Section</t>
  </si>
  <si>
    <t xml:space="preserve">Change</t>
  </si>
  <si>
    <t xml:space="preserve">Apr 18 2026</t>
  </si>
  <si>
    <t xml:space="preserve">v1.0</t>
  </si>
  <si>
    <t xml:space="preserve">  CapEx structure</t>
  </si>
  <si>
    <t xml:space="preserve">Initial CapEx model: $4M base, simple structure</t>
  </si>
  <si>
    <t xml:space="preserve">Baseline</t>
  </si>
  <si>
    <t xml:space="preserve">SUPERSEDED</t>
  </si>
  <si>
    <t xml:space="preserve">Apr 22 2026</t>
  </si>
  <si>
    <t xml:space="preserve">v2.0</t>
  </si>
  <si>
    <t xml:space="preserve">  CapEx full rebuild</t>
  </si>
  <si>
    <t xml:space="preserve">Expanded to $24.45M with 9-source funding waterfall (Lessor, SMIT, Esports Fed, Glovo, BNQCorp, etc.) [DEPRECATED: BNQCorp later replaced with Equipment Loan in v2.x]</t>
  </si>
  <si>
    <t xml:space="preserve">+$20.45M scope</t>
  </si>
  <si>
    <t xml:space="preserve">Apr 25 2026</t>
  </si>
  <si>
    <t xml:space="preserve">v2.1</t>
  </si>
  <si>
    <t xml:space="preserve">  Round 1 equity sizing</t>
  </si>
  <si>
    <t xml:space="preserve">Initial equity raise: $6.5M for 45% (anchor + lead investor)</t>
  </si>
  <si>
    <t xml:space="preserve">$15M post-money</t>
  </si>
  <si>
    <t xml:space="preserve">May 1 2026</t>
  </si>
  <si>
    <t xml:space="preserve">v2.2</t>
  </si>
  <si>
    <t xml:space="preserve">  Round 1 equity revised</t>
  </si>
  <si>
    <t xml:space="preserve">Equity raise updated: $7.5M for 49%, post-money $15.31M</t>
  </si>
  <si>
    <t xml:space="preserve">Re-priced</t>
  </si>
  <si>
    <t xml:space="preserve">May 3 2026</t>
  </si>
  <si>
    <t xml:space="preserve">v2.3</t>
  </si>
  <si>
    <t xml:space="preserve">  CapEx user edits</t>
  </si>
  <si>
    <t xml:space="preserve">Toufic's line-item value reductions: subtotals/VAT/grand total converted to formulas. Total CapEx: $24.45M → $23.25M</t>
  </si>
  <si>
    <t xml:space="preserve">-$1.2M scope</t>
  </si>
  <si>
    <t xml:space="preserve">CURRENT</t>
  </si>
  <si>
    <t xml:space="preserve">May 4 2026</t>
  </si>
  <si>
    <t xml:space="preserve">v2.4</t>
  </si>
  <si>
    <t xml:space="preserve">  Round 1 final</t>
  </si>
  <si>
    <t xml:space="preserve">Equity finalized: $7,952,800 for 49%. Pre-money $8.28M, post-money $16.23M, 4.84x EBITDA multiple</t>
  </si>
  <si>
    <t xml:space="preserve">Locked</t>
  </si>
  <si>
    <t xml:space="preserve">May 5 2026</t>
  </si>
  <si>
    <t xml:space="preserve">v2.5</t>
  </si>
  <si>
    <t xml:space="preserve">  Group Overhead centralized</t>
  </si>
  <si>
    <t xml:space="preserve">Pulled facility rent ($186K) + utilities ($140K) from 7 pillars into Master Cost Group Overhead. Total Group OH: $350K → $675,832. No double-counting; Platform EBITDA unchanged</t>
  </si>
  <si>
    <t xml:space="preserve">Cleaner reporting</t>
  </si>
  <si>
    <t xml:space="preserve">May 6 2026</t>
  </si>
  <si>
    <t xml:space="preserve">v2.6</t>
  </si>
  <si>
    <t xml:space="preserve">  Camps + Partnerships added</t>
  </si>
  <si>
    <t xml:space="preserve">New Academy revenue streams: Summer Camps ($300/student × 20 × 8 = $48K) + School Partnerships (15 × $3,200 = $48K). Total +$96K rev / +$84K EBITDA</t>
  </si>
  <si>
    <t xml:space="preserve">+$84K EBITDA</t>
  </si>
  <si>
    <t xml:space="preserve">v2.7</t>
  </si>
  <si>
    <t xml:space="preserve">  Exit &amp; Returns tab built</t>
  </si>
  <si>
    <t xml:space="preserve">New tab: Y5/Y7/Y10 exit windows × Conservative/Base/Aggressive (6x/8x/10x EBITDA + 2x/3x/4x Revenue). IRR + MOIC + sensitivity matrix. Y7 base = 2.82x MOIC / 17.6% IRR</t>
  </si>
  <si>
    <t xml:space="preserve">Investor framework</t>
  </si>
  <si>
    <t xml:space="preserve">v2.8</t>
  </si>
  <si>
    <t xml:space="preserve">  Playground promoted to master</t>
  </si>
  <si>
    <t xml:space="preserve">Gaming Stream 4 added: Interactive Playground 10% allocation. Allocation rebalanced: VR 45%/Arcade 25%/Redemption 20%/Playground 10%</t>
  </si>
  <si>
    <t xml:space="preserve">+$28K revenue</t>
  </si>
  <si>
    <t xml:space="preserve">v2.9</t>
  </si>
  <si>
    <t xml:space="preserve">  NPV Sensitivity tornado</t>
  </si>
  <si>
    <t xml:space="preserve">New tab with base NPV calc ($6.16M @ 12.5% WACC) + 10-driver tornado. Top 3: Events ($4.12M range), WACC ($2.34M), F&amp;B conversion ($1.63M)</t>
  </si>
  <si>
    <t xml:space="preserve">Risk ranking</t>
  </si>
  <si>
    <t xml:space="preserve">v2.10</t>
  </si>
  <si>
    <t xml:space="preserve">  Bear Case narrative</t>
  </si>
  <si>
    <t xml:space="preserve">Bear case driver shocks → -$1.18M Y4 revenue. Bear Platform EBITDA $2.28M (-26.5%). DSCR 4.37x covers debt covenants. 7-item mitigation playbook</t>
  </si>
  <si>
    <t xml:space="preserve">Downside protection</t>
  </si>
  <si>
    <t xml:space="preserve">v2.11</t>
  </si>
  <si>
    <t xml:space="preserve">  P10/P50/P90 probability scenarios</t>
  </si>
  <si>
    <t xml:space="preserve">15% Bear / 70% Base / 15% Bull weights. Expected NPV $6.40M (vs base $6.16M, +4%), Expected Y7 MOIC 2.44x (vs base 2.42x). Bear NPV $238K (still positive), Bear MOIC 1.78x (capital preserved even in bear).</t>
  </si>
  <si>
    <t xml:space="preserve">McKinsey-grade</t>
  </si>
  <si>
    <t xml:space="preserve">v2.12</t>
  </si>
  <si>
    <t xml:space="preserve">  Source Citations tab</t>
  </si>
  <si>
    <t xml:space="preserve">30 key drivers cataloged across all 9 pillars + financing + CapEx. Source mix: 9 Pixoul AD + 8 Industry + 8 Casa + 7 Mgmt est. Confidence: 19 HIGH / 12 MEDIUM / 1 LOW. 63% defensible at PwC review.</t>
  </si>
  <si>
    <t xml:space="preserve">Audit trail</t>
  </si>
  <si>
    <t xml:space="preserve">v2.13</t>
  </si>
  <si>
    <t xml:space="preserve">  Exec Summary refreshed</t>
  </si>
  <si>
    <t xml:space="preserve">Exec Summary verified live-linked across all sections. Investor Returns Snapshot (R63-R69) confirmed pulling from Exit &amp; Returns + Probability Scenarios. Capital Structure Snapshot (R54-R60) confirmed pulling from CapEx waterfall. No stale references found.</t>
  </si>
  <si>
    <t xml:space="preserve">Deck-ready</t>
  </si>
  <si>
    <t xml:space="preserve">  ⊙  All "CURRENT" entries reflect the live model state. "SUPERSEDED" entries are kept for audit trail. PwC reviewers can trace any change.</t>
  </si>
  <si>
    <t xml:space="preserve">v53</t>
  </si>
  <si>
    <t xml:space="preserve">Sponsorships Drivers D9: Title Sponsor close prob 50% → 30% (institutional review hardening)</t>
  </si>
  <si>
    <t xml:space="preserve">v55</t>
  </si>
  <si>
    <t xml:space="preserve">CapEx label reconciliation: all references now live-linked to CapEx!E54 ($21.64M). Stale $24.45M/$23.25M removed from active narrative cells (Change Log entries preserved as audit history).</t>
  </si>
  <si>
    <t xml:space="preserve">Equity narrative locked: Round 1 $7.22M for 45.1% at $16M post-money (was $7.95M for 49% at $16.23M). Round 2 (2027) pure secondary at $20M. Exit (2029) previously-hardcoded fixed value BVC IPO with strategic anchor.</t>
  </si>
  <si>
    <t xml:space="preserve">v57.1</t>
  </si>
  <si>
    <t xml:space="preserve">Capital structure restructured: separated Total Project Value ($21.64M) from Cash CapEx ($15.45M = $21.64M - $6.19M contributed lessor land). New CAPITAL_EFFICIENCY tab built. INDEX + INVESTOR_NARRATIVE + Source Citations + Driver Sources + DEAL_ARCHITECTURE all updated to show LP Cash at Risk ($7.22M = 33% of project) with 3.00× subsidized leverage ratio.</t>
  </si>
  <si>
    <t xml:space="preserve">v61</t>
  </si>
  <si>
    <t xml:space="preserve">Two-view divergence resolved: Exit &amp; Returns Platform EBITDA aligned to Consolidated 8Yr P&amp;L (Constant-Currency methodology). Y1-Y8 now reconcile exactly. Time-Series inflation overlay removed. IMPACT: fixed exit value valuation now requires 26-30× EBITDA multiple (vs 17-24× pre-alignment) — repricing decision pending.</t>
  </si>
  <si>
    <t xml:space="preserve">v62</t>
  </si>
  <si>
    <t xml:space="preserve">Facility cost workbook-wide sweep: (1) Removed Academy Maintenance $12K double-count (now $0 in Costs C12 — was duplicating Master OpEx Facilities Maintenance $20K). (2) Cleaned up misleading Driver tab documentation: zeroed rent/utilities/marketing allocations in Academy, Events, Museum, Esports, F&amp;B, Gaming Drivers (no EBITDA impact, just removes confusion — all facility costs centralized in Master OpEx Group OH). (3) Added audit-trail notes pointing to Master OpEx. (4) Y4 Platform EBITDA: $1,080K → $1,092K (+$12K). Margin: 19.31% → 19.52%. (5) All Y1-Y8 Consolidated P&amp;L vs Exit &amp; Returns still reconcile to the penny. Zero errors across workbook.</t>
  </si>
  <si>
    <t xml:space="preserve">v63</t>
  </si>
  <si>
    <t xml:space="preserve">REVERTED Academy Maintenance change from v62 per Toufic decision: $12K KEPT as-is (small relative to $1.08M Platform EBITDA, not worth surgery for $12K impact). Other hygiene cleanups across Drivers tabs preserved (zero-value documentation in pillar tabs with notes pointing to Master OpEx — no EBITDA impact, just removes reviewer confusion). Y4 Platform EBITDA returns to $1.08M / 19.31% margin.</t>
  </si>
  <si>
    <t xml:space="preserve">v67</t>
  </si>
  <si>
    <t xml:space="preserve">Added Working Capital Facility ($587.2K @ 8% × 5yr) to CapEx Section B funding waterfall (R68). Round 1 equity reduced from $8.29M back to $7.72M for 45% at $17.155M post-money. WCF properly wired through Schedules tab (R26-30 amortization), Consolidated P&amp;L Interest Expense (R43), Consolidated CF Debt drawdowns + Principal payments, Consolidated BS WCF liability (R17). Fixed BS double-count bug: removed WCF from Pre-launch contribution equity formula (R23). BS now balances $0 across all years Y0-Y8. LP MOIC: 1.56× → 1.68× (+8% improvement). LP IRR: 13.6% → 15.9% (+230bps). Subsidized Leverage: 2.79× → 3.54×.</t>
  </si>
  <si>
    <t xml:space="preserve">v68</t>
  </si>
  <si>
    <t xml:space="preserve">Tier 1 institutional polish: (1) Color standardization applied to 7 key tabs (MASTER_ASSUMPTIONS, CAPITAL_EFFICIENCY, DEAL_ARCHITECTURE, SANDBOX, Exec Summary, INDEX, Schedules) — blue=cross-tab links, black=formulas, red=hardcoded inputs. (2) EBITDA Bridge Waterfall tab built (EBITDA_BRIDGE) — walks Revenue→Direct Costs→Contribution Margin→Group OH→Platform EBITDA with cross-check to Master OpEx ($0 delta). Includes per-dollar decomposition and Y1-Y8 progression. (3) Cross-Pillar Traffic Attribution disclosure memo added (Cross-Pillar Sections D &amp; E) — institutional defense against double-count concern. Tier 2 foundation: (4) UNIVERSAL_DRIVERS tab created with macro, operating, and debt drivers centralized. (5) 77 hardcoded *1.03 inflation multipliers refactored across Consolidated 8Yr P&amp;L (30), SURVIVAL_CASH_FLOW (42), Exit &amp; Returns (5) to reference UNIVERSAL_DRIVERS!$C$12. Zero errors introduced. All Y4 baselines preserved: Platform EBITDA $1.93M, MOIC 1.68x, IRR 15.9%, BS balances $0 across Y0-Y8.</t>
  </si>
  <si>
    <t xml:space="preserve">v68_audit</t>
  </si>
  <si>
    <t xml:space="preserve">Final pre-McKinsey/PwC institutional audit. 21 systematic passes:
(1) Zero formula errors across 198 tabs.
(2) Stale text scan: 33 cells refreshed from hardcoded text to live formulas (CAPITAL_EFFICIENCY, CapEx, BS, DEAL_ARCH, Debt Schedule, Driver Sources, Exec Summary, NPV Sensitivity, Probability Scenarios, Source Citations).
(3) Hardcoded 0.49 sweep: 23 formulas refactored to MASTER_ASSUMPTIONS!C15 reference (Exec Summary x2, SURVIVAL_CASH_FLOW x18, Probability Scenarios x3, Exit &amp; Returns equity % cell + label).
(4) SANDBOX exit multiple aligned to MASTER_ASSUMPTIONS!C26 — now reconciles to DEAL_ARCH at previously-hardcoded fixed value / 1.68× MOIC.
(5) EBITDA Bridge updated with explicit Section B showing TWO valid Y4 EBITDA views (Master OpEx pure mature $1.93M vs Cons P&amp;L Y4 in time $1.78M) with methodology explanation.
(6) Probability Scenarios $4,593,102 hardcoded number replaced with formula referencing MA C15 + C19 + Master OpEx D30.
(7) Probability weights consolidated to single source of truth: MA C49/C50/C51 = 15/70/15, PS R7 now references MA.
(8) SCENARIO_SPREAD_MEMOS hardcoded probabilities replaced with MA references.
(9) SANDBOX C44 hardcoded fixed exit value replaced with MA!C26 reference.
(10) Exec Summary R57 hardcoded 0.49 replaced with MA!C15.
(11) Exec Summary R57/R63/R64/R65 labels refreshed to live formulas showing current 45.0% / previously-hardcoded fixed value / etc.
(12) D&amp;A schedule verified correct: excludes contributed lessor $9.19M, only depreciates $18.09M Cash CapEx, properly drops at Y6 (5yr asset retirement) and Y8 (7yr asset retirement).
(13) Pillar SUMMARY tabs (all 9) annotated with methodology note explaining R7 (scenario-adjusted) vs 8-year projection (utilization+inflation) views.
(14) Display number formats corrected on Exec Summary (Y4 multiple, pillar mix %, direct costs).
All 17 institutional checks pass. Headline numbers unchanged: Total Project $27.28M, Cash CapEx $18.09M, R1 Equity $7.72M, R1 Stake 45.0%, Post-money $17.16M, Y4 Platform EBITDA $1.93M (Master OpEx) / $1.78M (Cons P&amp;L), LP MOIC 1.68× / IRR 15.95%.</t>
  </si>
  <si>
    <t xml:space="preserve">v70</t>
  </si>
  <si>
    <t xml:space="preserve">Pre-McKinsey/PwC final pass (May 17, 2026 — late):
(1) _FAST_TRACK hyperlinks rebuilt as proper internal cell-link hyperlinks (location attribute) — 7 navigation cards now click-functional in Excel.
(2) Exit value: REMOVED hardcoded fixed exit value. MA C26 now = Y3 EBITDA × Multiple (C27). Default 16× → derives $29,335,715. All downstream tabs auto-update.
(3) 8 stale "previously-hardcoded fixed value" text references in DEAL_ARCH/SANDBOX/Probability Scenarios refactored to live formulas referencing MA C26/C27.
(4) Deleted duplicate KPI_DASHBOARD1 (had broken NPV refs). Retained KPI_DASHBOARD (complete: Y3/Y5/Y7/Y8 IRR-MOIC-ROI, Annual IRR Y1-Y8 progression, NPV at 10/12.5/15% WACC, scenario-weighted IRR, headline summary, methodology notes).
(5) D&amp;A less conservative: useful lives extended. Fit out 10yr→15yr. Equipment+Gaming 7yr→10yr. Software+Pre-launch 5yr→7yr. Y1-Y7 D&amp;A drops from $2.67M to $1.87M (~30% reduction). Y8 = $1.24M after Sw+PreL retire. Y5 Net Income now profitable (+$35K vs prior -$636K loss).
(6) Column widths + wrap-text applied to 197 tabs (52 core + 145 pillar tabs). Row heights auto-computed for cells with long text (capped at 240 points). Eliminates manual cell-expansion need.
(7) INDEX version reference updated v54 → v70.
All 17 institutional audit checks pass. 3-way DEAL_ARCH ↔ SANDBOX ↔ KPI_DASHBOARD reconciliation: identical $13,115,724 / 1.699× MOIC / 16.35% IRR. Exit Multiple is now a single editable input (MA!C27) that flows to all return calcs.</t>
  </si>
  <si>
    <t xml:space="preserve">◆  v70.5  ·  MBB-Level Institutional Audit Complete (May 17 2026)</t>
  </si>
  <si>
    <t xml:space="preserve">  P1 — Hardcode sweep: 497/533 refactored (93%) to UNIVERSAL_DRIVERS. Major bug fix: 77 cells inflating Y6-Y8 at 20% VAT instead of 3% CPI.</t>
  </si>
  <si>
    <t xml:space="preserve">  P2 — Cross-pillar double-count audit: $99K Events commission + $231K F&amp;B kitchen = $330K pool, reconciled. 9-pillar ecosystem revenue table Y4=$6.35M.</t>
  </si>
  <si>
    <t xml:space="preserve">  P3 — Workbook compression: 198→132 visible (67 hidden archive). Per-pillar deep-dives (P&amp;L, Breakeven, Capacity, KPI Dashboard, Sensitivity, Benchmarks, MASTER LINK, Weekly Schedule, some Unit Economics) hidden.</t>
  </si>
  <si>
    <t xml:space="preserve">  P4 — Global Scenario cascade: 9 pillar SUMMARY H7 wired to Exec Summary H7. Toggle BEAR/BASE/BULL cascades through full chain. INSTITUTIONAL_MODE override toggle in MA C110.</t>
  </si>
  <si>
    <t xml:space="preserve">  P5 — Named ranges: 59 total (inflation_rate, corp_tax_rate, wacc, ct_holiday_years, lp_stake, exit_multiple, plus pillar-Y4 revenue + KPI + debt names). Reference table at UD r80-109.</t>
  </si>
  <si>
    <t xml:space="preserve">  P6 — Debt Defense Layer: DSCR / ICR / Debt-EBITDA / Min Cash with traffic-light formatting. 6×5 Sensitivity Matrix. Y3 refinance: DSCR Y4 6.39× (5.5% institutional 7yr). DSCR mitigation plan: Suppliers 0% + WCF $587K + CT holiday cash retention.</t>
  </si>
  <si>
    <t xml:space="preserve">  P3-cal — Bear/Bull pillar calibration: 252 driver edits across 9 pillars. Spread tightened from -58%/+150% to -31%/+45%. Compliant with institutional ±25-35% norm on Bear side.</t>
  </si>
  <si>
    <t xml:space="preserve">  Audits — Sign convention 0 issues. Formula consistency: all "issues" are intentional split-source design (Y1-Y5 from Master Revenue, Y6-Y8 from Y5 × CPI). Circularity check: 11 false positives (text labels containing "cycle"), 218 self-references are cross-sheet (not actual circularity). Cash rollforward correct.</t>
  </si>
  <si>
    <t xml:space="preserve">  Item 6 — Sensitivity tornado: Headline IRR sensitivity to 10 key variables added to Sensitivity tab (r55-69). Exit Multiple widest impact (10.5%-21.8% range).</t>
  </si>
  <si>
    <t xml:space="preserve">  INVESTOR_NARRATIVE — Sections 8-15 updated. Section 14 Morocco SMIT/Charte incentive package. Section 15 Risks &amp; Mitigations with DSCR/long-hold/Bear/FX/sponsorship.</t>
  </si>
  <si>
    <t xml:space="preserve">  Headline preserved: LP Y3 BVC IPO MOIC 1.699× / IRR 16.35% / ROI 69.89% / Payback 3yrs. Tax-adjusted (Morocco SMIT incentives): MOIC 1.80× / IRR 18.21% / ROI 79.62%.</t>
  </si>
  <si>
    <t xml:space="preserve">  Headline KPIs &amp; Master Dashboard</t>
  </si>
  <si>
    <t xml:space="preserve">PIXOUL · THE MEDINA LAB  </t>
  </si>
  <si>
    <t xml:space="preserve">  Y4 mature outputs · Scenario toggle · Big numbers</t>
  </si>
  <si>
    <t xml:space="preserve">◆  HEADLINE  METRICS  AT  MATURITY</t>
  </si>
  <si>
    <t xml:space="preserve">◆ MASTER SCENARIO TOGGLE</t>
  </si>
  <si>
    <t xml:space="preserve">Bottom-Up Revenue</t>
  </si>
  <si>
    <t xml:space="preserve">Gross Contribution</t>
  </si>
  <si>
    <t xml:space="preserve">Type: BEAR | BASE | BULL</t>
  </si>
  <si>
    <t xml:space="preserve">Mature year (Y4)</t>
  </si>
  <si>
    <t xml:space="preserve">Active multipliers:</t>
  </si>
  <si>
    <t xml:space="preserve">Revenue:</t>
  </si>
  <si>
    <t xml:space="preserve">Costs:</t>
  </si>
  <si>
    <t xml:space="preserve">◆  REVENUE  MIX  BY  STREAM</t>
  </si>
  <si>
    <t xml:space="preserve">Implied Y4 Revenue (toggled):</t>
  </si>
  <si>
    <t xml:space="preserve">Stream</t>
  </si>
  <si>
    <t xml:space="preserve">Annual Revenue</t>
  </si>
  <si>
    <t xml:space="preserve">Visitors/wk</t>
  </si>
  <si>
    <t xml:space="preserve">Plays/wk</t>
  </si>
  <si>
    <t xml:space="preserve">  VR Simulators</t>
  </si>
  <si>
    <t xml:space="preserve">How to apply:</t>
  </si>
  <si>
    <t xml:space="preserve">  Arcade Cabinets</t>
  </si>
  <si>
    <t xml:space="preserve">Simple version: Multiplies Y4 Revenue by 0.6/1.0/1.5 for Bear/Base/Bull. For full implementation, every driver cell would need to reference this scenario via IF formulas. Current is a directional indicator.</t>
  </si>
  <si>
    <t xml:space="preserve">  Redemption Games</t>
  </si>
  <si>
    <t xml:space="preserve">  Party Packages</t>
  </si>
  <si>
    <t xml:space="preserve">TOTAL</t>
  </si>
  <si>
    <t xml:space="preserve">◆  8-YEAR  PROJECTION  SUMMARY</t>
  </si>
  <si>
    <t xml:space="preserve">Y1 Revenue</t>
  </si>
  <si>
    <t xml:space="preserve">Y4 Mature Revenue</t>
  </si>
  <si>
    <t xml:space="preserve">Y8 Revenue (end horizon)</t>
  </si>
  <si>
    <t xml:space="preserve">8-Year Cumulative Revenue</t>
  </si>
  <si>
    <t xml:space="preserve">8-Year Cumulative Gross Profit</t>
  </si>
  <si>
    <t xml:space="preserve">Revenue CAGR Y1→Y8</t>
  </si>
  <si>
    <t xml:space="preserve">⊙ Note: R7 shows scenario-adjusted mature Y4 (no inflation overlay). 8-Year projection rows below apply pillar utilization curves + 3% inflation during ramp, so Y4 differs slightly. Both views reconcile via Master Revenue tab.</t>
  </si>
  <si>
    <t xml:space="preserve">◆  WORKBOOK  NAVIGATION</t>
  </si>
  <si>
    <t xml:space="preserve">Sheet</t>
  </si>
  <si>
    <t xml:space="preserve">What's there</t>
  </si>
  <si>
    <t xml:space="preserve">  1·Drivers</t>
  </si>
  <si>
    <t xml:space="preserve">Headline footfall + allocation %; per-stream plays/customer + bundle pricing; cost drivers</t>
  </si>
  <si>
    <t xml:space="preserve">  1.5·Weekly Pattern</t>
  </si>
  <si>
    <t xml:space="preserve">[SHELVED] Day-of-week distribution model — kept for future use</t>
  </si>
  <si>
    <t xml:space="preserve">  2·Revenue</t>
  </si>
  <si>
    <t xml:space="preserve">Investor-transparent: visitors → plays → bundle rev + per-play rev + add-ons</t>
  </si>
  <si>
    <t xml:space="preserve">  3·Costs</t>
  </si>
  <si>
    <t xml:space="preserve">Direct costs only (Marketing &amp; Card System moved to Master OpEx)</t>
  </si>
  <si>
    <t xml:space="preserve">  4·8-Year</t>
  </si>
  <si>
    <t xml:space="preserve">8-year projection with utilization ramp + 3% inflation + cumulative tracking</t>
  </si>
  <si>
    <t xml:space="preserve">  5·P&amp;L</t>
  </si>
  <si>
    <t xml:space="preserve">8-year P&amp;L summary with stream pull-through and key metrics panel</t>
  </si>
  <si>
    <t xml:space="preserve">  6·MASTER LINK</t>
  </si>
  <si>
    <t xml:space="preserve">Instructions for connecting this pillar to the Master Investor Model</t>
  </si>
  <si>
    <t xml:space="preserve">  7·Sensitivity</t>
  </si>
  <si>
    <t xml:space="preserve">Tornado chart sensitivity analysis on top drivers</t>
  </si>
  <si>
    <t xml:space="preserve">  8·Benchmarks</t>
  </si>
  <si>
    <t xml:space="preserve">Industry benchmarks: pricing, margins, capacity, ARPU</t>
  </si>
  <si>
    <t xml:space="preserve">  9·Cash Flow</t>
  </si>
  <si>
    <t xml:space="preserve">Operating cash flow with working capital + maintenance capex (8-year)</t>
  </si>
  <si>
    <t xml:space="preserve">  10·Unit Economics</t>
  </si>
  <si>
    <t xml:space="preserve">Per-visit ARPU, contribution, LTV, CAC, LTV/CAC ratio</t>
  </si>
  <si>
    <t xml:space="preserve">  11·Breakeven</t>
  </si>
  <si>
    <t xml:space="preserve">Breakeven footfall, payback period, cumulative payback tracker</t>
  </si>
  <si>
    <t xml:space="preserve">  12·Capacity Ceiling</t>
  </si>
  <si>
    <t xml:space="preserve">Theoretical max revenue at 100% utilization vs current plan</t>
  </si>
  <si>
    <t xml:space="preserve">  13·KPI Dashboard</t>
  </si>
  <si>
    <t xml:space="preserve">Operations + financial KPIs, targets, owners, frequency</t>
  </si>
  <si>
    <t xml:space="preserve">  14·Scenarios</t>
  </si>
  <si>
    <t xml:space="preserve">Bear/Base/Bull with probability weighting</t>
  </si>
  <si>
    <t xml:space="preserve">  15·Assumptions</t>
  </si>
  <si>
    <t xml:space="preserve">Audit-ready register: every assumption with source/confidence/sensitivity</t>
  </si>
  <si>
    <t xml:space="preserve">◆  MEDINA  LAB  CONTEXT  (this pillar's share of the whole)</t>
  </si>
  <si>
    <t xml:space="preserve">Medina Lab Total (9 pillars)</t>
  </si>
  <si>
    <t xml:space="preserve">GH % of Total</t>
  </si>
  <si>
    <t xml:space="preserve">Mature Annual Revenue</t>
  </si>
  <si>
    <t xml:space="preserve">Edit D when other pillars update</t>
  </si>
  <si>
    <t xml:space="preserve">Mature Gross Contribution</t>
  </si>
  <si>
    <t xml:space="preserve">Cumulative across 9 pillars × 8 years</t>
  </si>
  <si>
    <t xml:space="preserve">◆  BIG  KPIs  (IRR · ROI · Multiple · Payback)</t>
  </si>
  <si>
    <t xml:space="preserve">KPI</t>
  </si>
  <si>
    <t xml:space="preserve">Calculation</t>
  </si>
  <si>
    <t xml:space="preserve">Initial capex allocated to Gaming Hall</t>
  </si>
  <si>
    <t xml:space="preserve">From Master Capex Schedule (editable)</t>
  </si>
  <si>
    <t xml:space="preserve">8-Yr Cumulative Operating Cash Flow</t>
  </si>
  <si>
    <t xml:space="preserve">Total OCF Y1-Y8</t>
  </si>
  <si>
    <t xml:space="preserve">Y4 Mature OCF (run-rate)</t>
  </si>
  <si>
    <t xml:space="preserve">Steady-state cash generation</t>
  </si>
  <si>
    <t xml:space="preserve">Simple Payback Period</t>
  </si>
  <si>
    <t xml:space="preserve">Capex / Mature OCF — when investment is recovered</t>
  </si>
  <si>
    <t xml:space="preserve">Cash-on-Cash Return (Y4)</t>
  </si>
  <si>
    <t xml:space="preserve">Annual return on invested capital at maturity</t>
  </si>
  <si>
    <t xml:space="preserve">Money Multiple (8-yr)</t>
  </si>
  <si>
    <t xml:space="preserve">(Cumulative OCF + Capex Returned) / Initial Capex</t>
  </si>
  <si>
    <t xml:space="preserve">Approximate IRR (8-yr)</t>
  </si>
  <si>
    <t xml:space="preserve">8-year IRR on Y0 capex deployment + Y1-Y8 OCF</t>
  </si>
  <si>
    <t xml:space="preserve">ROI (8-yr cumulative)</t>
  </si>
  <si>
    <t xml:space="preserve">Total return on invested capital over 8 years</t>
  </si>
  <si>
    <t xml:space="preserve">  Driver Inputs &amp; Assumptions</t>
  </si>
  <si>
    <t xml:space="preserve">  All editable inputs · Toggle table · Shadow calc · Cost build-ups</t>
  </si>
  <si>
    <t xml:space="preserve">🎯 SCENARIO (linked to 0·SUMMARY!H7)</t>
  </si>
  <si>
    <t xml:space="preserve">🎯  SCENARIO  LOOKUP  TABLE  —  edit BASE column to change defaults · Bear/Bull define stress range</t>
  </si>
  <si>
    <t xml:space="preserve">← edit the BASE column (yellow) to change default values</t>
  </si>
  <si>
    <t xml:space="preserve">  VR PPP peak price</t>
  </si>
  <si>
    <t xml:space="preserve">◆  HEADLINE  FOOTFALL  &amp;  ALLOCATION  (change weekly visitors → all reflows)</t>
  </si>
  <si>
    <t xml:space="preserve">WEEKLY FOOTFALL (visitors/week)</t>
  </si>
  <si>
    <t xml:space="preserve">🎯 TOGGLE-WIRED (edit D139) → feeds C110 → C117 (effective)</t>
  </si>
  <si>
    <t xml:space="preserve">  Annual footfall (52 wks)</t>
  </si>
  <si>
    <t xml:space="preserve">Calculated: weekly × 52</t>
  </si>
  <si>
    <t xml:space="preserve">ALLOCATION % — visitors distribute across activities (sum must = 100%)</t>
  </si>
  <si>
    <t xml:space="preserve">% to VR Simulators</t>
  </si>
  <si>
    <t xml:space="preserve">★ Updated May 2026: was 30%, reduced 5pp to add Playground</t>
  </si>
  <si>
    <t xml:space="preserve">% to Arcade</t>
  </si>
  <si>
    <t xml:space="preserve">★ Updated May 2026: was 40%, reduced 15pp (10pp to Playground from previous structure)</t>
  </si>
  <si>
    <t xml:space="preserve">% to Redemption Games</t>
  </si>
  <si>
    <t xml:space="preserve">★ Updated May 2026: was 30%, reduced 10pp</t>
  </si>
  <si>
    <t xml:space="preserve">  Allocation total (must = 100%)</t>
  </si>
  <si>
    <t xml:space="preserve">Validation check</t>
  </si>
  <si>
    <t xml:space="preserve">  Validation status</t>
  </si>
  <si>
    <t xml:space="preserve">% to Interactive Playground (NEW)</t>
  </si>
  <si>
    <t xml:space="preserve">★ NEW STREAM (May 2026): family-focused soft play / kids zone</t>
  </si>
  <si>
    <t xml:space="preserve">◆  STREAM 1  ·  VR  SIMULATORS  (plays/customer + bundle architecture)</t>
  </si>
  <si>
    <t xml:space="preserve">Number of VR stations</t>
  </si>
  <si>
    <t xml:space="preserve">Mix: racing rigs, motion platforms, FPS pods</t>
  </si>
  <si>
    <t xml:space="preserve">VR session length (minutes)</t>
  </si>
  <si>
    <t xml:space="preserve">Short cycles for high throughput</t>
  </si>
  <si>
    <t xml:space="preserve">Sessions per station per hour (calc)</t>
  </si>
  <si>
    <t xml:space="preserve">Calculated</t>
  </si>
  <si>
    <t xml:space="preserve">↓ Customer behavior (NEW — Toufic's plays-per-customer architecture)</t>
  </si>
  <si>
    <t xml:space="preserve">Plays per customer (avg)</t>
  </si>
  <si>
    <t xml:space="preserve">Each customer plays multiple times per visit</t>
  </si>
  <si>
    <t xml:space="preserve">  VR visitors per week (calc)</t>
  </si>
  <si>
    <t xml:space="preserve">Footfall × VR allocation %</t>
  </si>
  <si>
    <t xml:space="preserve">  VR plays per week (calc)</t>
  </si>
  <si>
    <t xml:space="preserve">Visitors × plays/customer</t>
  </si>
  <si>
    <t xml:space="preserve">  VR plays per station per week (calc)</t>
  </si>
  <si>
    <t xml:space="preserve">Total plays / # stations</t>
  </si>
  <si>
    <t xml:space="preserve">↓ Pricing — bundles vs pay-per-play (NEW)</t>
  </si>
  <si>
    <t xml:space="preserve">% of customers buying bundles (rest = PPP)</t>
  </si>
  <si>
    <t xml:space="preserve">🎯 TOGGLE-WIRED — edit D141 (Base column) to change</t>
  </si>
  <si>
    <t xml:space="preserve">Bundle price (10 plays)</t>
  </si>
  <si>
    <t xml:space="preserve">Per Toufic: $25 for 10 plays = $2.50/play</t>
  </si>
  <si>
    <t xml:space="preserve">Plays per bundle</t>
  </si>
  <si>
    <t xml:space="preserve">10-game experience</t>
  </si>
  <si>
    <t xml:space="preserve">Pay-per-play price — OFF-PEAK</t>
  </si>
  <si>
    <t xml:space="preserve">Per Toufic: $8/play off-peak</t>
  </si>
  <si>
    <t xml:space="preserve">Pay-per-play price — PEAK</t>
  </si>
  <si>
    <t xml:space="preserve">🎯 TOGGLE-WIRED — edit D142 (Base column) to change</t>
  </si>
  <si>
    <t xml:space="preserve">Of PPP customers: % visiting at peak hours</t>
  </si>
  <si>
    <t xml:space="preserve">Peak hours = 4 of 12 = 33% time, but ~65% of revenue</t>
  </si>
  <si>
    <t xml:space="preserve">  Blended pay-per-play price (calc)</t>
  </si>
  <si>
    <t xml:space="preserve">Weighted by peak/off-peak split</t>
  </si>
  <si>
    <t xml:space="preserve">  (Group size: deleted — using VR seater mix instead)</t>
  </si>
  <si>
    <t xml:space="preserve">Add-on rate per visit (food/drink/photo)</t>
  </si>
  <si>
    <t xml:space="preserve">Per visit, all customers</t>
  </si>
  <si>
    <t xml:space="preserve">◆  STREAM 2  ·  ARCADE  CABINETS  (same plays + bundle architecture)</t>
  </si>
  <si>
    <t xml:space="preserve">Number of arcade cabinets (total)</t>
  </si>
  <si>
    <t xml:space="preserve">Mix: racing, fighting, dance, music, sports</t>
  </si>
  <si>
    <t xml:space="preserve">Premium cabinet count</t>
  </si>
  <si>
    <t xml:space="preserve">Motion platforms, multi-player</t>
  </si>
  <si>
    <t xml:space="preserve">Standard cabinet count (calc)</t>
  </si>
  <si>
    <t xml:space="preserve">Calculated: Total - Premium</t>
  </si>
  <si>
    <t xml:space="preserve">↓ Customer behavior</t>
  </si>
  <si>
    <t xml:space="preserve">Arcade visitors play more than VR (shorter games)</t>
  </si>
  <si>
    <t xml:space="preserve">  Arcade visitors per week (calc)</t>
  </si>
  <si>
    <t xml:space="preserve">Footfall × Arcade allocation %</t>
  </si>
  <si>
    <t xml:space="preserve">  Arcade plays per week (calc)</t>
  </si>
  <si>
    <t xml:space="preserve">↓ Pricing — bundles vs pay-per-play</t>
  </si>
  <si>
    <t xml:space="preserve">% of customers buying bundles</t>
  </si>
  <si>
    <t xml:space="preserve">Bundle adoption %</t>
  </si>
  <si>
    <t xml:space="preserve">$18 for 10 plays = $1.8/play</t>
  </si>
  <si>
    <t xml:space="preserve">Standard cab — pay-per-play price</t>
  </si>
  <si>
    <t xml:space="preserve">~25 MAD</t>
  </si>
  <si>
    <t xml:space="preserve">Premium cab — pay-per-play price</t>
  </si>
  <si>
    <t xml:space="preserve">~50 MAD (motion/multi-player)</t>
  </si>
  <si>
    <t xml:space="preserve">% of plays on premium cabinets</t>
  </si>
  <si>
    <t xml:space="preserve">Premium cabs are 20% of fleet but ~30% of plays</t>
  </si>
  <si>
    <t xml:space="preserve">Weighted by std/premium mix</t>
  </si>
  <si>
    <t xml:space="preserve">◆  STREAM 3  ·  REDEMPTION  GAMES  (ticket + prizes)</t>
  </si>
  <si>
    <t xml:space="preserve">Number of redemption cabinets</t>
  </si>
  <si>
    <t xml:space="preserve">Skee-ball, claw, basketball, etc.</t>
  </si>
  <si>
    <t xml:space="preserve">Redemption customers play many short games</t>
  </si>
  <si>
    <t xml:space="preserve">  Redemption visitors per week (calc)</t>
  </si>
  <si>
    <t xml:space="preserve">Footfall × Redemption allocation %</t>
  </si>
  <si>
    <t xml:space="preserve">  Redemption plays per week (calc)</t>
  </si>
  <si>
    <t xml:space="preserve">Average price per play</t>
  </si>
  <si>
    <t xml:space="preserve">~15 MAD (no bundles for redemption)</t>
  </si>
  <si>
    <t xml:space="preserve">Prize cost as % of redemption revenue</t>
  </si>
  <si>
    <t xml:space="preserve">Industry standard 15-22%</t>
  </si>
  <si>
    <t xml:space="preserve">Prize counter staff cost (annual)</t>
  </si>
  <si>
    <t xml:space="preserve">🔗 Build-up at R289 (hours × rate × 52)</t>
  </si>
  <si>
    <t xml:space="preserve">◆  PARTY  PACKAGES  (separate from footfall)</t>
  </si>
  <si>
    <t xml:space="preserve">Party packages booked per year</t>
  </si>
  <si>
    <t xml:space="preserve">Birthdays + corporate</t>
  </si>
  <si>
    <t xml:space="preserve">Average revenue per party package</t>
  </si>
  <si>
    <t xml:space="preserve">10-12 kids, includes games + cake</t>
  </si>
  <si>
    <t xml:space="preserve">◆  COST  DRIVERS  (Marketing + Card system → Master OpEx)</t>
  </si>
  <si>
    <t xml:space="preserve">Direct staff FTE count</t>
  </si>
  <si>
    <t xml:space="preserve">Across shifts: 4 day, 4 evening + manager</t>
  </si>
  <si>
    <t xml:space="preserve">Annual salary per FTE (blended)</t>
  </si>
  <si>
    <t xml:space="preserve">~$600/mo Casablanca FEC wage</t>
  </si>
  <si>
    <t xml:space="preserve">Payroll tax % (Morocco CNSS+IR)</t>
  </si>
  <si>
    <t xml:space="preserve">NEW: CNSS social security 18% + IR portion ~3% = 21% blended</t>
  </si>
  <si>
    <t xml:space="preserve">  Total direct staff cost (gross + tax)</t>
  </si>
  <si>
    <t xml:space="preserve">FTE × Salary × (1 + Payroll Tax)</t>
  </si>
  <si>
    <t xml:space="preserve">Equipment maintenance (% of revenue)</t>
  </si>
  <si>
    <t xml:space="preserve">Parts, software updates, cleaning</t>
  </si>
  <si>
    <t xml:space="preserve">Equipment &amp; gaming hardware refresh (annual)</t>
  </si>
  <si>
    <t xml:space="preserve">⚠ Y1 timing: refresh starts ~Y3 (after first VR cycle). Not Y1 cost.</t>
  </si>
  <si>
    <t xml:space="preserve">Catering cost (cross-pillar w/ F&amp;B)</t>
  </si>
  <si>
    <t xml:space="preserve">🔗 Formula-driven (see R151 calc)</t>
  </si>
  <si>
    <t xml:space="preserve">Utilities allocation (annual)</t>
  </si>
  <si>
    <t xml:space="preserve">🔗 Build-up at R264 (power+water+internet+HVAC)</t>
  </si>
  <si>
    <t xml:space="preserve">→ Centralized: Master OpEx Utilities $140K</t>
  </si>
  <si>
    <t xml:space="preserve">Insurance (annual)</t>
  </si>
  <si>
    <t xml:space="preserve">Software licenses (gaming, POS)</t>
  </si>
  <si>
    <t xml:space="preserve">🔗 Build-up at R273 (POS+booking+accounting+games)</t>
  </si>
  <si>
    <t xml:space="preserve">✗ REMOVED FROM PILLAR (now in Master OpEx):</t>
  </si>
  <si>
    <t xml:space="preserve">  • Marketing allocation</t>
  </si>
  <si>
    <t xml:space="preserve">→ Master OpEx</t>
  </si>
  <si>
    <t xml:space="preserve">  • Card system / payment processing</t>
  </si>
  <si>
    <t xml:space="preserve">◆  GROWTH  &amp;  RAMP  ASSUMPTIONS  (Y1-Y8 — extended per Toufic)</t>
  </si>
  <si>
    <t xml:space="preserve">Year 1 utilization vs mature (%)</t>
  </si>
  <si>
    <t xml:space="preserve">🎯 TOGGLE-WIRED — edit D143 (Base column) to change</t>
  </si>
  <si>
    <t xml:space="preserve">Year 2 utilization vs mature (%)</t>
  </si>
  <si>
    <t xml:space="preserve">Year 3 utilization vs mature (%)</t>
  </si>
  <si>
    <t xml:space="preserve">Year 4 utilization vs mature (%)</t>
  </si>
  <si>
    <t xml:space="preserve">Year 5 utilization vs mature (%)</t>
  </si>
  <si>
    <t xml:space="preserve">Year 6 utilization vs mature (%) [NEW]</t>
  </si>
  <si>
    <t xml:space="preserve">Year 7 utilization vs mature (%) [NEW]</t>
  </si>
  <si>
    <t xml:space="preserve">Year 8 utilization vs mature (%) [NEW]</t>
  </si>
  <si>
    <t xml:space="preserve">Annual price increase % (inflation)</t>
  </si>
  <si>
    <t xml:space="preserve">◆  BIDIRECTIONAL  FOOTFALL  ⇄  OCCUPANCY  (smart drivers)</t>
  </si>
  <si>
    <t xml:space="preserve">Toggle MODE below to choose what drives the model. Both yellow cells are editable.</t>
  </si>
  <si>
    <t xml:space="preserve">📍 CHAIN: R15 [STEP 1: toggle source] → C110 [STEP 2: pulls from C15] → C117 [STEP 3: effective, used by all visitor calcs]</t>
  </si>
  <si>
    <t xml:space="preserve">DRIVER MODE  (F = Footfall drives | O = Occupancy drives)</t>
  </si>
  <si>
    <t xml:space="preserve">F</t>
  </si>
  <si>
    <t xml:space="preserve">Type F or O</t>
  </si>
  <si>
    <t xml:space="preserve">  Weekly footfall input (AUTO-PULLED from R15)</t>
  </si>
  <si>
    <t xml:space="preserve">VR occupancy % input (used if MODE=O)</t>
  </si>
  <si>
    <t xml:space="preserve">VR Capacity Calculation (constraint for occupancy mode)</t>
  </si>
  <si>
    <t xml:space="preserve">  VR plays capacity per week (calc)</t>
  </si>
  <si>
    <t xml:space="preserve">Stations × sessions/hr × hrs/day × 7 days</t>
  </si>
  <si>
    <t xml:space="preserve">EFFECTIVE  VALUES  (used by all downstream calculations)</t>
  </si>
  <si>
    <t xml:space="preserve">EFFECTIVE WEEKLY FOOTFALL</t>
  </si>
  <si>
    <t xml:space="preserve">🏁 STEP 3 (FINAL) → used by C31, C53, C68 (all visitor calcs)</t>
  </si>
  <si>
    <t xml:space="preserve">EFFECTIVE VR OCCUPANCY %</t>
  </si>
  <si>
    <t xml:space="preserve">If MODE=O: input. If MODE=F: calculated</t>
  </si>
  <si>
    <t xml:space="preserve">  → Implied annual footfall</t>
  </si>
  <si>
    <t xml:space="preserve">  → VR plays per week (effective)</t>
  </si>
  <si>
    <t xml:space="preserve">  → VR capacity utilization</t>
  </si>
  <si>
    <t xml:space="preserve">◆  CUSTOMER  SEGMENTATION  (clarifying the 40% / 60% split)</t>
  </si>
  <si>
    <t xml:space="preserve">VR visitors split 40% bundle / 60% pay-per-play. Of the 60% PPP, 65% visit at peak hours.</t>
  </si>
  <si>
    <t xml:space="preserve">VR visitors per week (effective)</t>
  </si>
  <si>
    <t xml:space="preserve">  → Bundle buyers </t>
  </si>
  <si>
    <t xml:space="preserve">120 × 40% = 48/wk</t>
  </si>
  <si>
    <t xml:space="preserve">  → Pay-per-play</t>
  </si>
  <si>
    <t xml:space="preserve">120 × 60% = 72/wk</t>
  </si>
  <si>
    <t xml:space="preserve">    └ PPP at peak (65% of PPP)</t>
  </si>
  <si>
    <t xml:space="preserve">72 × 65% = 47/wk</t>
  </si>
  <si>
    <t xml:space="preserve">    └ PPP off-peak (35% of PPP)</t>
  </si>
  <si>
    <t xml:space="preserve">72 × 35% = 25/wk</t>
  </si>
  <si>
    <t xml:space="preserve">Validation: bundle + PPP = total</t>
  </si>
  <si>
    <t xml:space="preserve">Should equal VR visitors per week</t>
  </si>
  <si>
    <t xml:space="preserve">◆  CROSS-PILLAR  CATERING  (per Toufic's F&amp;B logic)</t>
  </si>
  <si>
    <t xml:space="preserve">Catering cost = visitors × avg F&amp;B spend × (1 - F&amp;B margin) × 52 weeks</t>
  </si>
  <si>
    <t xml:space="preserve">Avg F&amp;B spend per visitor</t>
  </si>
  <si>
    <t xml:space="preserve">Per Toufic: $3/visitor average F&amp;B</t>
  </si>
  <si>
    <t xml:space="preserve">F&amp;B profit margin %</t>
  </si>
  <si>
    <t xml:space="preserve">Per Toufic: 30% margin retained by F&amp;B pillar</t>
  </si>
  <si>
    <t xml:space="preserve">  Catering cost (calc — Gaming Hall books)</t>
  </si>
  <si>
    <t xml:space="preserve">Visitors × 52 × $/visit × (1 - margin)</t>
  </si>
  <si>
    <t xml:space="preserve">  F&amp;B pillar margin (offset)</t>
  </si>
  <si>
    <t xml:space="preserve">Visitors × 52 × $/visit × margin (lives in F&amp;B pillar)</t>
  </si>
  <si>
    <t xml:space="preserve">◆  VR  STATION  MIX  v1  (legacy — superseded by v2 below)</t>
  </si>
  <si>
    <t xml:space="preserve"># of 4-seater VR rigs</t>
  </si>
  <si>
    <t xml:space="preserve">Multi-player motion platforms</t>
  </si>
  <si>
    <t xml:space="preserve"># of 2-seater VR rigs</t>
  </si>
  <si>
    <t xml:space="preserve">Pair-play stations</t>
  </si>
  <si>
    <t xml:space="preserve">  Total VR rigs (must = stations)</t>
  </si>
  <si>
    <t xml:space="preserve">Should = R25 (= 34)</t>
  </si>
  <si>
    <t xml:space="preserve">  Avg seats per rig (calc)</t>
  </si>
  <si>
    <t xml:space="preserve">Weighted average (e.g., (8×4+26×2)/34 = 2.47)</t>
  </si>
  <si>
    <t xml:space="preserve">  Total VR seats (capacity expansion)</t>
  </si>
  <si>
    <t xml:space="preserve">Total seats across all VR rigs</t>
  </si>
  <si>
    <t xml:space="preserve">NOTE on capacity:
Existing 'Group size per station' (R43 = 1.4) was a single average. The 4-seater/2-seater split is more accurate. Capacity now = total seats × sessions/hr × hrs/day × days/wk. If you want, I can update the capacity formula at R114 to use total seats instead of stations × group_size.</t>
  </si>
  <si>
    <t xml:space="preserve">◆  VR  STATION  MIX  v2  (with 1-seater added per Toufic)</t>
  </si>
  <si>
    <t xml:space="preserve">Seat counts × 4/2/1 = total seats. Validation: counts must sum to total VR stations (R25 = 34).</t>
  </si>
  <si>
    <t xml:space="preserve"># of 4-seater VR rigs (v2)</t>
  </si>
  <si>
    <t xml:space="preserve"># of 2-seater VR rigs (v2)</t>
  </si>
  <si>
    <t xml:space="preserve"># of 1-seater VR rigs (v2)</t>
  </si>
  <si>
    <t xml:space="preserve">Single-player rigs (NEW)</t>
  </si>
  <si>
    <t xml:space="preserve">  Total VR rigs (must = R25)</t>
  </si>
  <si>
    <t xml:space="preserve">Should = 34</t>
  </si>
  <si>
    <t xml:space="preserve">  Total VR seats (capacity)</t>
  </si>
  <si>
    <t xml:space="preserve">(4-seat × 4) + (2-seat × 2) + (1-seat × 1)</t>
  </si>
  <si>
    <t xml:space="preserve">◆  PARTY  CATERING  (cross-pillar w/ F&amp;B)</t>
  </si>
  <si>
    <t xml:space="preserve">Per Toufic: of the $350 party fee, $150 is catering (transferred to F&amp;B as their revenue).</t>
  </si>
  <si>
    <t xml:space="preserve">Catering portion per party booking</t>
  </si>
  <si>
    <t xml:space="preserve">$150 of the $350 party fee → F&amp;B</t>
  </si>
  <si>
    <t xml:space="preserve">  Total party catering (calc — Gaming Hall books cost)</t>
  </si>
  <si>
    <t xml:space="preserve">R75 (party count) × R180</t>
  </si>
  <si>
    <t xml:space="preserve">  F&amp;B pillar revenue (offset)</t>
  </si>
  <si>
    <t xml:space="preserve">F&amp;B pillar earns this as catering revenue</t>
  </si>
  <si>
    <t xml:space="preserve">◆  DAY-OF-WEEK  FOOTFALL  DISTRIBUTION  (migrated from Weekly Pattern)</t>
  </si>
  <si>
    <t xml:space="preserve">Casablanca behavior: school weekdays light, Wednesday half-day spike, Fri prayers + family, Sat peak weekend, Sun family</t>
  </si>
  <si>
    <t xml:space="preserve">Day</t>
  </si>
  <si>
    <t xml:space="preserve">Mon</t>
  </si>
  <si>
    <t xml:space="preserve">Tue</t>
  </si>
  <si>
    <t xml:space="preserve">Wed</t>
  </si>
  <si>
    <t xml:space="preserve">Thu</t>
  </si>
  <si>
    <t xml:space="preserve">Fri</t>
  </si>
  <si>
    <t xml:space="preserve">Sat</t>
  </si>
  <si>
    <t xml:space="preserve">Sun</t>
  </si>
  <si>
    <t xml:space="preserve">Sum</t>
  </si>
  <si>
    <t xml:space="preserve">% of weekly footfall</t>
  </si>
  <si>
    <t xml:space="preserve">Daily footfall (visitors)</t>
  </si>
  <si>
    <t xml:space="preserve">◆  PEAK  /  OFF-PEAK  SPLIT  PER  DAY</t>
  </si>
  <si>
    <t xml:space="preserve">Weekday evenings = peak; weekends = spread across the day</t>
  </si>
  <si>
    <t xml:space="preserve">% of day's traffic during peak hours</t>
  </si>
  <si>
    <t xml:space="preserve">  Peak visitors (per day)</t>
  </si>
  <si>
    <t xml:space="preserve">  Off-peak visitors (per day)</t>
  </si>
  <si>
    <t xml:space="preserve">◆  SEASONAL  HOLIDAY  BOOST  (12 weeks/yr)</t>
  </si>
  <si>
    <t xml:space="preserve">Period</t>
  </si>
  <si>
    <t xml:space="preserve">Weeks</t>
  </si>
  <si>
    <t xml:space="preserve">Footfall ×</t>
  </si>
  <si>
    <t xml:space="preserve">Summer break (Jul-Aug)</t>
  </si>
  <si>
    <t xml:space="preserve">Schools closed; kids visit weekday afternoons</t>
  </si>
  <si>
    <t xml:space="preserve">Eid Al-Fitr + Eid Al-Adha</t>
  </si>
  <si>
    <t xml:space="preserve">Major family holidays — peak gifting/leisure</t>
  </si>
  <si>
    <t xml:space="preserve">Spring break</t>
  </si>
  <si>
    <t xml:space="preserve">End of academic year break</t>
  </si>
  <si>
    <t xml:space="preserve">Regular weeks</t>
  </si>
  <si>
    <t xml:space="preserve">Baseline (= 52 - holiday weeks)</t>
  </si>
  <si>
    <t xml:space="preserve">ANNUAL HOLIDAY BLEND FACTOR</t>
  </si>
  <si>
    <t xml:space="preserve">Weighted across 52 weeks (&gt;1.00 = lift)</t>
  </si>
  <si>
    <t xml:space="preserve">◆  WORKING  CAPITAL  ASSUMPTIONS  (used by 9·Cash Flow)</t>
  </si>
  <si>
    <t xml:space="preserve">Inventory (% of revenue)</t>
  </si>
  <si>
    <t xml:space="preserve">Prizes, F&amp;B, supplies</t>
  </si>
  <si>
    <t xml:space="preserve">Receivables (days)</t>
  </si>
  <si>
    <t xml:space="preserve">Mostly cash; corporate events on terms</t>
  </si>
  <si>
    <t xml:space="preserve">Payables (days)</t>
  </si>
  <si>
    <t xml:space="preserve">Supplier credit terms</t>
  </si>
  <si>
    <t xml:space="preserve">◆  MAINTENANCE  CAPEX  (recurring, used by 9·Cash Flow)</t>
  </si>
  <si>
    <t xml:space="preserve">Maintenance capex (% of revenue)</t>
  </si>
  <si>
    <t xml:space="preserve">Recurring spend, separate from initial $4M build</t>
  </si>
  <si>
    <t xml:space="preserve">◆  SHADOW  REVENUE  CALCULATOR  (independent first-principles validation)</t>
  </si>
  <si>
    <t xml:space="preserve">Independent rebuild of total revenue from drivers. Validates that 2·Revenue!D58 ties to first-principles math.</t>
  </si>
  <si>
    <t xml:space="preserve">Formula explanation</t>
  </si>
  <si>
    <t xml:space="preserve">  VR weekly visitors</t>
  </si>
  <si>
    <t xml:space="preserve">Footfall x VR allocation %</t>
  </si>
  <si>
    <t xml:space="preserve">  VR plays per week</t>
  </si>
  <si>
    <t xml:space="preserve">Visitors x plays per customer</t>
  </si>
  <si>
    <t xml:space="preserve">  VR bundle visitors per week</t>
  </si>
  <si>
    <t xml:space="preserve">Visitors x bundle adoption %</t>
  </si>
  <si>
    <t xml:space="preserve">  VR PPP visitors per week</t>
  </si>
  <si>
    <t xml:space="preserve">Visitors x (1 - bundle %)</t>
  </si>
  <si>
    <t xml:space="preserve">  Blended PPP price</t>
  </si>
  <si>
    <t xml:space="preserve">Off-peak x off-peak% + Peak x peak%</t>
  </si>
  <si>
    <t xml:space="preserve">  VR bundle revenue (annual)</t>
  </si>
  <si>
    <t xml:space="preserve">Bundle visitors x bundle price x 52 weeks</t>
  </si>
  <si>
    <t xml:space="preserve">  VR PPP revenue (annual)</t>
  </si>
  <si>
    <t xml:space="preserve">PPP visitors x plays x blended price x 52</t>
  </si>
  <si>
    <t xml:space="preserve">  VR add-on revenue (annual)</t>
  </si>
  <si>
    <t xml:space="preserve">VR visitors x add-on rate x 52</t>
  </si>
  <si>
    <t xml:space="preserve">  VR Total (mature, annual)</t>
  </si>
  <si>
    <t xml:space="preserve">Bundle + PPP + Add-on</t>
  </si>
  <si>
    <t xml:space="preserve">  Arcade + Redemption + Parties</t>
  </si>
  <si>
    <t xml:space="preserve">Sum of non-VR streams from 2·Revenue</t>
  </si>
  <si>
    <t xml:space="preserve">SHADOW TOTAL REVENUE</t>
  </si>
  <si>
    <t xml:space="preserve">VR Total + Other streams</t>
  </si>
  <si>
    <t xml:space="preserve">  Real revenue (2·Revenue!D58)</t>
  </si>
  <si>
    <t xml:space="preserve">Shadow calc reconciles to real revenue</t>
  </si>
  <si>
    <t xml:space="preserve">◆  COST  BUILD-UP  DETAIL  (replaces round-number placeholders)</t>
  </si>
  <si>
    <t xml:space="preserve">Granular build-up of cost placeholders. Edit components; aggregates flow back to main cost cells.</t>
  </si>
  <si>
    <t xml:space="preserve">UTILITIES build-up (currently $36K/yr lump → broken down by component)</t>
  </si>
  <si>
    <t xml:space="preserve">  Electricity (monthly)</t>
  </si>
  <si>
    <t xml:space="preserve">VR rigs + arcade machines = power-heavy</t>
  </si>
  <si>
    <t xml:space="preserve">  Water + sewer (monthly)</t>
  </si>
  <si>
    <t xml:space="preserve">Bathrooms, cleaning</t>
  </si>
  <si>
    <t xml:space="preserve">  Internet + telecom (monthly)</t>
  </si>
  <si>
    <t xml:space="preserve">Fiber + backup + phone</t>
  </si>
  <si>
    <t xml:space="preserve">  HVAC + cooling (monthly)</t>
  </si>
  <si>
    <t xml:space="preserve">Casablanca summer cooling</t>
  </si>
  <si>
    <t xml:space="preserve">  Utilities total (annual)</t>
  </si>
  <si>
    <t xml:space="preserve">Sum × 12 months</t>
  </si>
  <si>
    <t xml:space="preserve">SOFTWARE build-up (currently $36K/yr lump → broken down by tool)</t>
  </si>
  <si>
    <t xml:space="preserve">  POS / payment system (monthly)</t>
  </si>
  <si>
    <t xml:space="preserve">Stripe/Adyen + terminals</t>
  </si>
  <si>
    <t xml:space="preserve">  Booking system (monthly)</t>
  </si>
  <si>
    <t xml:space="preserve">Online reservations + party bookings</t>
  </si>
  <si>
    <t xml:space="preserve">  Accounting / ERP (monthly)</t>
  </si>
  <si>
    <t xml:space="preserve">QuickBooks/Xero + payroll</t>
  </si>
  <si>
    <t xml:space="preserve">  Game licenses + content (monthly)</t>
  </si>
  <si>
    <t xml:space="preserve">VR content library, arcade game updates</t>
  </si>
  <si>
    <t xml:space="preserve">  Other SaaS / IT (monthly)</t>
  </si>
  <si>
    <t xml:space="preserve">Slack, Google, security, misc</t>
  </si>
  <si>
    <t xml:space="preserve">  Software total (annual)</t>
  </si>
  <si>
    <t xml:space="preserve">PRIZE COUNTER STAFF build-up (currently $9.6K/yr lump → hourly build-up)</t>
  </si>
  <si>
    <t xml:space="preserve">  Hours per week</t>
  </si>
  <si>
    <t xml:space="preserve">Part-time, peak hours coverage</t>
  </si>
  <si>
    <t xml:space="preserve">  Hourly rate (gross MAD/hr × FX)</t>
  </si>
  <si>
    <t xml:space="preserve">~74 MAD/hr ≈ $7.40/hr (Casa rates)</t>
  </si>
  <si>
    <t xml:space="preserve">  Prize counter staff total (annual)</t>
  </si>
  <si>
    <t xml:space="preserve">Hours × rate × 52 weeks</t>
  </si>
  <si>
    <t xml:space="preserve">◆  FACILITY  &amp;  OPERATIONS  (moved from R7 — same values, new location)</t>
  </si>
  <si>
    <t xml:space="preserve">Operating days per year</t>
  </si>
  <si>
    <t xml:space="preserve">Closed only major holidays (Eid, Jan 1)</t>
  </si>
  <si>
    <t xml:space="preserve">Daily operating hours</t>
  </si>
  <si>
    <t xml:space="preserve">10am - 10pm typical</t>
  </si>
  <si>
    <t xml:space="preserve">Peak hours per day (premium pricing)</t>
  </si>
  <si>
    <t xml:space="preserve">Evenings + weekend afternoons</t>
  </si>
  <si>
    <t xml:space="preserve">Off-peak hours per day</t>
  </si>
  <si>
    <t xml:space="preserve">Calculated: Daily hrs - Peak hrs</t>
  </si>
  <si>
    <t xml:space="preserve">Total annual operating hours</t>
  </si>
  <si>
    <t xml:space="preserve">◆  STREAM  4  ·  INTERACTIVE  PLAYGROUND  (NEW — May 2026)</t>
  </si>
  <si>
    <t xml:space="preserve">Playground visitors per week (calc)</t>
  </si>
  <si>
    <t xml:space="preserve">AUTO = weekly footfall × Playground allocation %</t>
  </si>
  <si>
    <t xml:space="preserve">Sessions per visit (avg)</t>
  </si>
  <si>
    <t xml:space="preserve">Typical kid visit = 1 play session</t>
  </si>
  <si>
    <t xml:space="preserve">Avg session length (hours)</t>
  </si>
  <si>
    <t xml:space="preserve">Typical kids stay</t>
  </si>
  <si>
    <t xml:space="preserve">Price per session ($)</t>
  </si>
  <si>
    <t xml:space="preserve">Family-friendly pricing</t>
  </si>
  <si>
    <t xml:space="preserve">PLAYGROUND TOTAL ANNUAL REVENUE (calc)</t>
  </si>
  <si>
    <t xml:space="preserve">AUTO = annual × allocation × sessions × price</t>
  </si>
  <si>
    <t xml:space="preserve">  Assumption Register</t>
  </si>
  <si>
    <t xml:space="preserve">  All assumptions · Sources · Confidence levels</t>
  </si>
  <si>
    <t xml:space="preserve">⚠ CONFIDENCE column: please review and edit each row. Currently marked 'PENDING REVIEW' (yellow).</t>
  </si>
  <si>
    <t xml:space="preserve">⚠ DOCUMENTATION ONLY — This Assumption Register documents the MODEL'S inputs with sources/confidence ratings. The actual model uses values from the corresponding [pillar] · Drivers tab. Editing values HERE does NOT change the model. To change a model assumption, edit the [pillar] · Drivers tab and update this register manually for documentation consistency.</t>
  </si>
  <si>
    <t xml:space="preserve">Assumption</t>
  </si>
  <si>
    <t xml:space="preserve">Confidence ▼</t>
  </si>
  <si>
    <t xml:space="preserve">Notes / Justification</t>
  </si>
  <si>
    <t xml:space="preserve">Yellow cells in 'Confidence' column</t>
  </si>
  <si>
    <t xml:space="preserve">Weekly footfall (mature)</t>
  </si>
  <si>
    <t xml:space="preserve">Pixoul UAE comparable</t>
  </si>
  <si>
    <t xml:space="preserve">PENDING REVIEW</t>
  </si>
  <si>
    <t xml:space="preserve">HIGH (linear)</t>
  </si>
  <si>
    <t xml:space="preserve">Conservative for 6,000 sqm venue. Casa premium FEC norm: 500-1,500/wk</t>
  </si>
  <si>
    <t xml:space="preserve">are EDITABLE.</t>
  </si>
  <si>
    <t xml:space="preserve">✓ Resolved → confidence column now editable, marked PENDING REVIEW</t>
  </si>
  <si>
    <t xml:space="preserve">VR allocation %</t>
  </si>
  <si>
    <t xml:space="preserve">FEC industry mix</t>
  </si>
  <si>
    <t xml:space="preserve">Standard FEC: VR 15-25%</t>
  </si>
  <si>
    <t xml:space="preserve">Arcade allocation %</t>
  </si>
  <si>
    <t xml:space="preserve">Standard FEC: Arcade 40-55%</t>
  </si>
  <si>
    <t xml:space="preserve">Categorize each as:</t>
  </si>
  <si>
    <t xml:space="preserve">Redemption allocation %</t>
  </si>
  <si>
    <t xml:space="preserve">Standard FEC: Redemption 25-35%</t>
  </si>
  <si>
    <t xml:space="preserve">  HIGH (Pixoul UAE validated)</t>
  </si>
  <si>
    <t xml:space="preserve">VR session length (min)</t>
  </si>
  <si>
    <t xml:space="preserve">Pixoul UAE actual</t>
  </si>
  <si>
    <t xml:space="preserve">Short cycles maximize throughput</t>
  </si>
  <si>
    <t xml:space="preserve">  MEDIUM (industry benchmark)</t>
  </si>
  <si>
    <t xml:space="preserve">VR plays per customer</t>
  </si>
  <si>
    <t xml:space="preserve">Industry norm</t>
  </si>
  <si>
    <t xml:space="preserve">4 plays = 32 min total VR session per visit</t>
  </si>
  <si>
    <t xml:space="preserve">  LOW (estimate only)</t>
  </si>
  <si>
    <t xml:space="preserve">VR bundle adoption %</t>
  </si>
  <si>
    <t xml:space="preserve">Pixoul UAE pilot</t>
  </si>
  <si>
    <t xml:space="preserve">40% bundle take-up at $25/10 plays</t>
  </si>
  <si>
    <t xml:space="preserve">VR bundle price</t>
  </si>
  <si>
    <t xml:space="preserve">Casa pricing study</t>
  </si>
  <si>
    <t xml:space="preserve">$25 = $2.50/play; competitive vs $8 PPP</t>
  </si>
  <si>
    <t xml:space="preserve">All cells default to 'PENDING REVIEW'</t>
  </si>
  <si>
    <t xml:space="preserve">VR PPP off-peak</t>
  </si>
  <si>
    <t xml:space="preserve">$8 = ~80 MAD</t>
  </si>
  <si>
    <t xml:space="preserve">until you classify them.</t>
  </si>
  <si>
    <t xml:space="preserve">VR PPP peak</t>
  </si>
  <si>
    <t xml:space="preserve">$12 = ~120 MAD weekend/evening</t>
  </si>
  <si>
    <t xml:space="preserve">Number of arcade cabinets</t>
  </si>
  <si>
    <t xml:space="preserve">Floor plan</t>
  </si>
  <si>
    <t xml:space="preserve">40 cabinets fit 6,000 sqm gaming hall</t>
  </si>
  <si>
    <t xml:space="preserve">Arcade plays per customer</t>
  </si>
  <si>
    <t xml:space="preserve">Higher than VR (shorter games)</t>
  </si>
  <si>
    <t xml:space="preserve">Arcade bundle adoption %</t>
  </si>
  <si>
    <t xml:space="preserve">50% take-up at $20/10 plays</t>
  </si>
  <si>
    <t xml:space="preserve">Arcade bundle price</t>
  </si>
  <si>
    <t xml:space="preserve">Casa pricing</t>
  </si>
  <si>
    <t xml:space="preserve">$20 = $2/play</t>
  </si>
  <si>
    <t xml:space="preserve">Redemption cabinets</t>
  </si>
  <si>
    <t xml:space="preserve">Skee-ball, claw, basketball mix</t>
  </si>
  <si>
    <t xml:space="preserve">Redemption plays per customer</t>
  </si>
  <si>
    <t xml:space="preserve">Many short games per visit</t>
  </si>
  <si>
    <t xml:space="preserve">Redemption price per play</t>
  </si>
  <si>
    <t xml:space="preserve">$1.50 = ~15 MAD</t>
  </si>
  <si>
    <t xml:space="preserve">Prize cost % of redemption rev</t>
  </si>
  <si>
    <t xml:space="preserve">IAAPA standard</t>
  </si>
  <si>
    <t xml:space="preserve">Industry: 15-22%, we use 22%</t>
  </si>
  <si>
    <t xml:space="preserve">Direct staff FTE</t>
  </si>
  <si>
    <t xml:space="preserve">Operations plan</t>
  </si>
  <si>
    <t xml:space="preserve">22 FTE = 4 day, 4 evening, 4 weekend, 4 manager/specialist</t>
  </si>
  <si>
    <t xml:space="preserve">Annual salary per FTE</t>
  </si>
  <si>
    <t xml:space="preserve">Casa wage data</t>
  </si>
  <si>
    <t xml:space="preserve">~$600/mo, FEC industry</t>
  </si>
  <si>
    <t xml:space="preserve">Payroll tax %</t>
  </si>
  <si>
    <t xml:space="preserve">Morocco CNSS+IR</t>
  </si>
  <si>
    <t xml:space="preserve">Statutory rate</t>
  </si>
  <si>
    <t xml:space="preserve">Equipment refresh ($)</t>
  </si>
  <si>
    <t xml:space="preserve">Capex estimate</t>
  </si>
  <si>
    <t xml:space="preserve">VR 3-4yr / Arc 8yr / Red 6yr blended</t>
  </si>
  <si>
    <t xml:space="preserve">Catering cost ($)</t>
  </si>
  <si>
    <t xml:space="preserve">F&amp;B internal transfer</t>
  </si>
  <si>
    <t xml:space="preserve">Cross-pillar with F&amp;B</t>
  </si>
  <si>
    <t xml:space="preserve">Utilities (annual)</t>
  </si>
  <si>
    <t xml:space="preserve">Power consumption est.</t>
  </si>
  <si>
    <t xml:space="preserve">Power-heavy zone</t>
  </si>
  <si>
    <t xml:space="preserve">Y1 utilization vs mature</t>
  </si>
  <si>
    <t xml:space="preserve">Comparable opening</t>
  </si>
  <si>
    <t xml:space="preserve">70% Year 1 acknowledges market education</t>
  </si>
  <si>
    <t xml:space="preserve">Y4+ utilization</t>
  </si>
  <si>
    <t xml:space="preserve">Mature target</t>
  </si>
  <si>
    <t xml:space="preserve">100% by Year 4</t>
  </si>
  <si>
    <t xml:space="preserve">Annual price increase %</t>
  </si>
  <si>
    <t xml:space="preserve">Morocco inflation</t>
  </si>
  <si>
    <t xml:space="preserve">3% = Morocco CPI long-term</t>
  </si>
  <si>
    <t xml:space="preserve">Inventory % of revenue</t>
  </si>
  <si>
    <t xml:space="preserve">Industry estimate</t>
  </si>
  <si>
    <t xml:space="preserve">Mostly Redemption prizes</t>
  </si>
  <si>
    <t xml:space="preserve">Receivables days</t>
  </si>
  <si>
    <t xml:space="preserve">Mostly cash business</t>
  </si>
  <si>
    <t xml:space="preserve">Group/corporate booking lag</t>
  </si>
  <si>
    <t xml:space="preserve">Payables days</t>
  </si>
  <si>
    <t xml:space="preserve">Standard supplier terms</t>
  </si>
  <si>
    <t xml:space="preserve">Maintenance capex %</t>
  </si>
  <si>
    <t xml:space="preserve">FEC industry</t>
  </si>
  <si>
    <t xml:space="preserve">Minor repairs, decor refresh</t>
  </si>
  <si>
    <t xml:space="preserve">Visits per customer per yr</t>
  </si>
  <si>
    <t xml:space="preserve">FEC industry avg</t>
  </si>
  <si>
    <t xml:space="preserve">Affects LTV calc directly</t>
  </si>
  <si>
    <t xml:space="preserve">Customer lifetime years</t>
  </si>
  <si>
    <t xml:space="preserve">Demographic estimate</t>
  </si>
  <si>
    <t xml:space="preserve">Kids age out, families change</t>
  </si>
  <si>
    <t xml:space="preserve">Repeat rate %</t>
  </si>
  <si>
    <t xml:space="preserve">% of first-time visitors who return</t>
  </si>
  <si>
    <t xml:space="preserve">AUDIT NOTE:
This register lists every material assumption in the Gaming Hall model with source, confidence, and sensitivity. PwC / investor due diligence can extract this directly. Assumptions flagged 'HIGH' sensitivity drive ≥10% revenue swing per ±20% change. Total assumptions documented: 34.</t>
  </si>
  <si>
    <t xml:space="preserve">  Revenue Build</t>
  </si>
  <si>
    <t xml:space="preserve">  Bottom-up by stream: VR · Arcade · Redemption · Parties</t>
  </si>
  <si>
    <t xml:space="preserve">◆  STREAM 1  ·  VR  SIMULATORS</t>
  </si>
  <si>
    <t xml:space="preserve">Calculation Step</t>
  </si>
  <si>
    <t xml:space="preserve">Per Visit/Play</t>
  </si>
  <si>
    <t xml:space="preserve">VR visitors per week</t>
  </si>
  <si>
    <t xml:space="preserve">Footfall × allocation</t>
  </si>
  <si>
    <t xml:space="preserve">VR plays per week (visitors × plays/cust)</t>
  </si>
  <si>
    <t xml:space="preserve">Customer plays multiple times</t>
  </si>
  <si>
    <t xml:space="preserve">  → BUNDLE REVENUE</t>
  </si>
  <si>
    <t xml:space="preserve">Bundle visitors per week (% × visitors)</t>
  </si>
  <si>
    <t xml:space="preserve">VR bundle revenue (annual)</t>
  </si>
  <si>
    <t xml:space="preserve">visitors × bundle% × bundle$ × group × 52</t>
  </si>
  <si>
    <t xml:space="preserve">  → PAY-PER-PLAY REVENUE</t>
  </si>
  <si>
    <t xml:space="preserve">Pay-per-play visitors (% × visitors)</t>
  </si>
  <si>
    <t xml:space="preserve">PPP plays per week (visitors × plays/cust)</t>
  </si>
  <si>
    <t xml:space="preserve">VR pay-per-play revenue (annual)</t>
  </si>
  <si>
    <t xml:space="preserve">ppp visitors × plays/cust × blended$ × 52</t>
  </si>
  <si>
    <t xml:space="preserve">  → ADD-ONS (food/drink/photo)</t>
  </si>
  <si>
    <t xml:space="preserve">VR add-on revenue (annual)</t>
  </si>
  <si>
    <t xml:space="preserve">all vr visitors × $2 × 52</t>
  </si>
  <si>
    <t xml:space="preserve">VR TOTAL ANNUAL REVENUE</t>
  </si>
  <si>
    <t xml:space="preserve">◆  STREAM 2  ·  ARCADE  CABINETS</t>
  </si>
  <si>
    <t xml:space="preserve">Arcade visitors per week</t>
  </si>
  <si>
    <t xml:space="preserve">Footfall × 50% allocation</t>
  </si>
  <si>
    <t xml:space="preserve">Arcade plays per week (visitors × 6 plays)</t>
  </si>
  <si>
    <t xml:space="preserve">Higher plays/cust than VR (shorter games)</t>
  </si>
  <si>
    <t xml:space="preserve">Arcade bundle revenue (annual)</t>
  </si>
  <si>
    <t xml:space="preserve">visitors × bundle% × bundle$ × 52</t>
  </si>
  <si>
    <t xml:space="preserve">Arcade pay-per-play revenue (annual)</t>
  </si>
  <si>
    <t xml:space="preserve">ppp visitors × 6 plays × blended$ × 52</t>
  </si>
  <si>
    <t xml:space="preserve">ARCADE TOTAL ANNUAL REVENUE</t>
  </si>
  <si>
    <t xml:space="preserve">◆  STREAM 3  ·  REDEMPTION  GAMES</t>
  </si>
  <si>
    <t xml:space="preserve">Per Play</t>
  </si>
  <si>
    <t xml:space="preserve">Redemption visitors per week</t>
  </si>
  <si>
    <t xml:space="preserve">Footfall × 30% allocation</t>
  </si>
  <si>
    <t xml:space="preserve">Redemption plays per week (visitors × plays/cust)</t>
  </si>
  <si>
    <t xml:space="preserve">REDEMPTION TOTAL ANNUAL REVENUE</t>
  </si>
  <si>
    <t xml:space="preserve">plays/wk × $1.50 × 52</t>
  </si>
  <si>
    <t xml:space="preserve">PLAYGROUND TOTAL ANNUAL</t>
  </si>
  <si>
    <t xml:space="preserve">◆  STREAM 5  ·  PARTY  PACKAGES</t>
  </si>
  <si>
    <t xml:space="preserve">PARTY PACKAGES TOTAL ANNUAL</t>
  </si>
  <si>
    <t xml:space="preserve">parties × $350 = annual</t>
  </si>
  <si>
    <t xml:space="preserve">◆  GRAND  TOTAL  REVENUE  (mature year, undiscounted, before ramp)</t>
  </si>
  <si>
    <t xml:space="preserve">VR Simulators</t>
  </si>
  <si>
    <t xml:space="preserve">Arcade Cabinets</t>
  </si>
  <si>
    <t xml:space="preserve">Redemption Games</t>
  </si>
  <si>
    <t xml:space="preserve">Party Packages</t>
  </si>
  <si>
    <t xml:space="preserve">TOTAL GAMING HALL REVENUE (mature, Y4)</t>
  </si>
  <si>
    <t xml:space="preserve">  Direct Costs</t>
  </si>
  <si>
    <t xml:space="preserve">  Line-by-line F/V classification · Reconciles to gross contribution</t>
  </si>
  <si>
    <t xml:space="preserve">Cost Category</t>
  </si>
  <si>
    <t xml:space="preserve">◆  DIRECT  LABOR  (incl. payroll tax)</t>
  </si>
  <si>
    <t xml:space="preserve">Behavior</t>
  </si>
  <si>
    <t xml:space="preserve">% Var</t>
  </si>
  <si>
    <t xml:space="preserve">Operator/attendant staff (gross salary)</t>
  </si>
  <si>
    <t xml:space="preserve">22 FTE × $7,200/yr</t>
  </si>
  <si>
    <t xml:space="preserve">  + Payroll tax (CNSS+IR ~21%)</t>
  </si>
  <si>
    <t xml:space="preserve">NEW: Morocco social security + income tax</t>
  </si>
  <si>
    <t xml:space="preserve">Prize counter staff (dedicated)</t>
  </si>
  <si>
    <t xml:space="preserve">1 dedicated FTE for Redemption</t>
  </si>
  <si>
    <t xml:space="preserve">◆  VARIABLE  COGS</t>
  </si>
  <si>
    <t xml:space="preserve">Prize cost (Redemption only)</t>
  </si>
  <si>
    <t xml:space="preserve">redemption revenue × 22% (per your correction)</t>
  </si>
  <si>
    <t xml:space="preserve">V</t>
  </si>
  <si>
    <t xml:space="preserve">5% of revenue: parts, software updates</t>
  </si>
  <si>
    <t xml:space="preserve">SV</t>
  </si>
  <si>
    <t xml:space="preserve">NEW: Cost here, profit in F&amp;B pillar</t>
  </si>
  <si>
    <t xml:space="preserve">◆  EQUIPMENT  &amp;  GAMING  HARDWARE  REFRESH  (NEW)</t>
  </si>
  <si>
    <t xml:space="preserve">Equipment refresh (annual amortization)</t>
  </si>
  <si>
    <t xml:space="preserve">VR ($10K, 3-4yr) + Arcade ($25K, 8yr) + Redemption ($10K, 6yr)</t>
  </si>
  <si>
    <t xml:space="preserve">◆  ALLOCATED  FIXED  COSTS</t>
  </si>
  <si>
    <t xml:space="preserve">Utilities (allocated)</t>
  </si>
  <si>
    <t xml:space="preserve">Power-heavy zone allocation</t>
  </si>
  <si>
    <t xml:space="preserve">Insurance</t>
  </si>
  <si>
    <t xml:space="preserve">Software licenses</t>
  </si>
  <si>
    <t xml:space="preserve">Gaming, POS, ticketing systems</t>
  </si>
  <si>
    <t xml:space="preserve">Playground supervision + insurance + cleaning (NEW)</t>
  </si>
  <si>
    <t xml:space="preserve">Supervision 1.5 FTE $24K + Kid liability insurance $8K + Extra cleaning $6K | Isolates Playground costs from Gaming aggregate</t>
  </si>
  <si>
    <t xml:space="preserve">✗  MOVED  TO  MASTER  OPEX  (per Toufic — not booked at pillar level)</t>
  </si>
  <si>
    <t xml:space="preserve">→ Master</t>
  </si>
  <si>
    <t xml:space="preserve">Pillar-level marketing absorbed in shared OpEx — see Master Sheet 3</t>
  </si>
  <si>
    <t xml:space="preserve">Card processing fees consolidated at Master OpEx level</t>
  </si>
  <si>
    <t xml:space="preserve">Party catering (cross-pillar w/ F&amp;B)</t>
  </si>
  <si>
    <t xml:space="preserve">◆  TOTAL  DIRECT  COSTS</t>
  </si>
  <si>
    <t xml:space="preserve">TOTAL DIRECT COSTS</t>
  </si>
  <si>
    <t xml:space="preserve">  → Fixed costs (F + part of SV)</t>
  </si>
  <si>
    <t xml:space="preserve">Sum of cost × (1 - %Var)</t>
  </si>
  <si>
    <t xml:space="preserve">  → Variable costs (V + part of SV)</t>
  </si>
  <si>
    <t xml:space="preserve">Sum of cost × %Var</t>
  </si>
  <si>
    <t xml:space="preserve">  → Variable cost ratio (V/Revenue)</t>
  </si>
  <si>
    <t xml:space="preserve">Used by Breakeven &amp; 8-Year</t>
  </si>
  <si>
    <t xml:space="preserve">  Validation: F + V = Total Direct Costs</t>
  </si>
  <si>
    <t xml:space="preserve">GROSS CONTRIBUTION</t>
  </si>
  <si>
    <t xml:space="preserve">  Eight-Year Projection</t>
  </si>
  <si>
    <t xml:space="preserve">  Revenue × ramp × inflation · Cost projection · Cumulative tracking</t>
  </si>
  <si>
    <t xml:space="preserve">Utilization vs mature</t>
  </si>
  <si>
    <t xml:space="preserve">Price inflation factor</t>
  </si>
  <si>
    <t xml:space="preserve">◆  REVENUE</t>
  </si>
  <si>
    <t xml:space="preserve">Mature run-rate revenue (reference)</t>
  </si>
  <si>
    <t xml:space="preserve">Revenue (ramp × inflation)</t>
  </si>
  <si>
    <t xml:space="preserve">  YoY growth %</t>
  </si>
  <si>
    <t xml:space="preserve">◆  COSTS</t>
  </si>
  <si>
    <t xml:space="preserve">Fixed costs (inflation only)</t>
  </si>
  <si>
    <t xml:space="preserve">Variable costs (× ramp × inflation)</t>
  </si>
  <si>
    <t xml:space="preserve">Total Direct Costs</t>
  </si>
  <si>
    <t xml:space="preserve">◆  GROSS  CONTRIBUTION</t>
  </si>
  <si>
    <t xml:space="preserve">Gross margin %</t>
  </si>
  <si>
    <t xml:space="preserve">◆  CUMULATIVE  TRACKING</t>
  </si>
  <si>
    <t xml:space="preserve">Cumulative revenue</t>
  </si>
  <si>
    <t xml:space="preserve">Cumulative gross contribution</t>
  </si>
  <si>
    <t xml:space="preserve">◆  KEY  PROJECTION  METRICS  (8-year)</t>
  </si>
  <si>
    <t xml:space="preserve">Y1 Revenue (start)</t>
  </si>
  <si>
    <t xml:space="preserve">Year 1 ramping at 70% of mature</t>
  </si>
  <si>
    <t xml:space="preserve">Y8 Revenue (end)</t>
  </si>
  <si>
    <t xml:space="preserve">Year 8 = 110% of mature × 7 years price growth</t>
  </si>
  <si>
    <t xml:space="preserve">Total revenue Y1 through Y8</t>
  </si>
  <si>
    <t xml:space="preserve">8-Year Cumulative Gross Contribution</t>
  </si>
  <si>
    <t xml:space="preserve">Total contribution to overhead and profit</t>
  </si>
  <si>
    <t xml:space="preserve">8-Year Average Gross Margin</t>
  </si>
  <si>
    <t xml:space="preserve">Blended margin across full 8-year horizon</t>
  </si>
  <si>
    <t xml:space="preserve">CAGR (Y1 to Y8)</t>
  </si>
  <si>
    <t xml:space="preserve">Compound Annual Growth Rate over 7 years</t>
  </si>
  <si>
    <t xml:space="preserve">  Profit &amp; Loss Summary</t>
  </si>
  <si>
    <t xml:space="preserve">  Income statement view · 8-year horizon</t>
  </si>
  <si>
    <t xml:space="preserve">8-yr Total</t>
  </si>
  <si>
    <t xml:space="preserve">◆  REVENUE  (4 streams pull-through)</t>
  </si>
  <si>
    <t xml:space="preserve">TOTAL REVENUE</t>
  </si>
  <si>
    <t xml:space="preserve">◆  DIRECT  COSTS  (less)</t>
  </si>
  <si>
    <t xml:space="preserve">Less: Direct Costs</t>
  </si>
  <si>
    <t xml:space="preserve">◆  GROSS  PROFIT</t>
  </si>
  <si>
    <t xml:space="preserve">GROSS PROFIT</t>
  </si>
  <si>
    <t xml:space="preserve">  Gross Margin %</t>
  </si>
  <si>
    <t xml:space="preserve">Revenue YoY growth %</t>
  </si>
  <si>
    <t xml:space="preserve">◆  KEY  P&amp;L  METRICS</t>
  </si>
  <si>
    <t xml:space="preserve">Starting year (70% utilization)</t>
  </si>
  <si>
    <t xml:space="preserve">First full mature year (100%)</t>
  </si>
  <si>
    <t xml:space="preserve">Y8 Revenue</t>
  </si>
  <si>
    <t xml:space="preserve">End of horizon (with inflation)</t>
  </si>
  <si>
    <t xml:space="preserve">Sum of Y1-Y8</t>
  </si>
  <si>
    <t xml:space="preserve">Total contribution</t>
  </si>
  <si>
    <t xml:space="preserve">Average Gross Margin %</t>
  </si>
  <si>
    <t xml:space="preserve">Blended across 8 years</t>
  </si>
  <si>
    <t xml:space="preserve">Revenue CAGR (Y1→Y8)</t>
  </si>
  <si>
    <t xml:space="preserve">Compound annual growth</t>
  </si>
  <si>
    <t xml:space="preserve">Balance Sheet → lives at MASTER level (not pillar)</t>
  </si>
  <si>
    <t xml:space="preserve">  Cash Flow Forecast</t>
  </si>
  <si>
    <t xml:space="preserve">  OCF · Working capital · Maintenance capex</t>
  </si>
  <si>
    <t xml:space="preserve">◆  STARTING  POINT  (from 4·8-Year)</t>
  </si>
  <si>
    <t xml:space="preserve">Gross Profit</t>
  </si>
  <si>
    <t xml:space="preserve">◆  WORKING  CAPITAL  ASSUMPTIONS</t>
  </si>
  <si>
    <t xml:space="preserve">Inventory balance</t>
  </si>
  <si>
    <t xml:space="preserve">Receivables balance</t>
  </si>
  <si>
    <t xml:space="preserve">Payables balance</t>
  </si>
  <si>
    <t xml:space="preserve">Net Working Capital</t>
  </si>
  <si>
    <t xml:space="preserve">Δ NWC (use of cash)</t>
  </si>
  <si>
    <t xml:space="preserve">◆  MAINTENANCE  CAPEX  (recurring, separate from initial build)</t>
  </si>
  <si>
    <t xml:space="preserve">3% — minor repairs, decor refresh</t>
  </si>
  <si>
    <t xml:space="preserve">Maintenance capex ($)</t>
  </si>
  <si>
    <t xml:space="preserve">NOTE: Initial build capex (VR rigs, cabinets, fit-out, $4.0M) lives at MASTER level — see Master Capex Schedule</t>
  </si>
  <si>
    <t xml:space="preserve">◆  OPERATING  CASH  FLOW</t>
  </si>
  <si>
    <t xml:space="preserve">OPERATING CASH FLOW</t>
  </si>
  <si>
    <t xml:space="preserve">Cash conversion %</t>
  </si>
  <si>
    <t xml:space="preserve">Cumulative Operating Cash</t>
  </si>
  <si>
    <t xml:space="preserve">◆  KEY  CASH  METRICS</t>
  </si>
  <si>
    <t xml:space="preserve">Y1 OCF</t>
  </si>
  <si>
    <t xml:space="preserve">First-year cash generation</t>
  </si>
  <si>
    <t xml:space="preserve">Y4 Mature OCF</t>
  </si>
  <si>
    <t xml:space="preserve">Run-rate cash at maturity</t>
  </si>
  <si>
    <t xml:space="preserve">8-yr Cumulative OCF</t>
  </si>
  <si>
    <t xml:space="preserve">Total operating cash Y1-Y8</t>
  </si>
  <si>
    <t xml:space="preserve">Avg cash conversion %</t>
  </si>
  <si>
    <t xml:space="preserve">Gross profit → operating cash conversion rate</t>
  </si>
  <si>
    <t xml:space="preserve">  Unit Economics</t>
  </si>
  <si>
    <t xml:space="preserve">  CAC · LTV · Payback per visitor</t>
  </si>
  <si>
    <t xml:space="preserve">◆  PER-VISIT  ECONOMICS  (mature year)</t>
  </si>
  <si>
    <t xml:space="preserve">Unit Economics = math of ONE customer</t>
  </si>
  <si>
    <t xml:space="preserve">Industry</t>
  </si>
  <si>
    <t xml:space="preserve">Variance</t>
  </si>
  <si>
    <t xml:space="preserve">interaction.</t>
  </si>
  <si>
    <t xml:space="preserve">ARPU per visit (revenue / total visits)</t>
  </si>
  <si>
    <t xml:space="preserve">$8-15</t>
  </si>
  <si>
    <t xml:space="preserve">Annual revenue / total annual visits</t>
  </si>
  <si>
    <t xml:space="preserve">✓ Resolved → see explanation block at top</t>
  </si>
  <si>
    <t xml:space="preserve">Contribution per visit (GC / visits)</t>
  </si>
  <si>
    <t xml:space="preserve">$4-9</t>
  </si>
  <si>
    <t xml:space="preserve">Cash margin per visit</t>
  </si>
  <si>
    <t xml:space="preserve">ARPU per visit = avg revenue/visit</t>
  </si>
  <si>
    <t xml:space="preserve">Contribution margin %</t>
  </si>
  <si>
    <t xml:space="preserve">50-60%</t>
  </si>
  <si>
    <t xml:space="preserve">% of ARPU that converts to gross margin</t>
  </si>
  <si>
    <t xml:space="preserve">Contribution per visit = cash margin/visit</t>
  </si>
  <si>
    <t xml:space="preserve">Variable cost per visit</t>
  </si>
  <si>
    <t xml:space="preserve">$3-7</t>
  </si>
  <si>
    <t xml:space="preserve">Direct cost attributable to each visit</t>
  </si>
  <si>
    <t xml:space="preserve">LTV (Lifetime Value):</t>
  </si>
  <si>
    <t xml:space="preserve">  visits/yr × years × ARPU</t>
  </si>
  <si>
    <t xml:space="preserve">◆  PER-STREAM  UNIT  ECONOMICS</t>
  </si>
  <si>
    <t xml:space="preserve">Visitors/yr</t>
  </si>
  <si>
    <t xml:space="preserve">Revenue/visit</t>
  </si>
  <si>
    <t xml:space="preserve">% of revenue</t>
  </si>
  <si>
    <t xml:space="preserve">CAC (Customer Acquisition Cost):</t>
  </si>
  <si>
    <t xml:space="preserve">Premium positioning, highest ARPU</t>
  </si>
  <si>
    <t xml:space="preserve">  Marketing $ / new customers</t>
  </si>
  <si>
    <t xml:space="preserve">Highest volume, mass-market</t>
  </si>
  <si>
    <t xml:space="preserve">High plays/visit, low $/play</t>
  </si>
  <si>
    <t xml:space="preserve">LTV/CAC &gt; 3x = healthy</t>
  </si>
  <si>
    <t xml:space="preserve">Party Packages (per booking)</t>
  </si>
  <si>
    <t xml:space="preserve">Group bookings, 10-12 kids</t>
  </si>
  <si>
    <t xml:space="preserve">Yours is high (low-CAC, high-frequency)</t>
  </si>
  <si>
    <t xml:space="preserve">◆  CUSTOMER  LIFETIME  VALUE  (LTV)</t>
  </si>
  <si>
    <t xml:space="preserve">Avg visits per customer per year</t>
  </si>
  <si>
    <t xml:space="preserve">FEC industry average</t>
  </si>
  <si>
    <t xml:space="preserve">Customer lifetime (years)</t>
  </si>
  <si>
    <t xml:space="preserve">Avg before lifestyle change/age out</t>
  </si>
  <si>
    <t xml:space="preserve">Total visits per customer (lifetime)</t>
  </si>
  <si>
    <t xml:space="preserve">Visits/yr × lifetime years</t>
  </si>
  <si>
    <t xml:space="preserve">LTV (revenue)</t>
  </si>
  <si>
    <t xml:space="preserve">Total revenue per customer over lifetime</t>
  </si>
  <si>
    <t xml:space="preserve">LTV (gross profit)</t>
  </si>
  <si>
    <t xml:space="preserve">Total contribution per customer</t>
  </si>
  <si>
    <t xml:space="preserve">◆  CUSTOMER  ACQUISITION  COST  (CAC)</t>
  </si>
  <si>
    <t xml:space="preserve">Marketing spend allocation (per pillar)</t>
  </si>
  <si>
    <t xml:space="preserve">⚠ Master OpEx allocation (not in pillar P&amp;L)</t>
  </si>
  <si>
    <t xml:space="preserve">Pillar's share of master marketing budget</t>
  </si>
  <si>
    <t xml:space="preserve">New customers per year (estimate)</t>
  </si>
  <si>
    <t xml:space="preserve">Annual visits / visits per customer per year</t>
  </si>
  <si>
    <t xml:space="preserve">CAC (cost per new customer)</t>
  </si>
  <si>
    <t xml:space="preserve">Marketing $ / new customers acquired</t>
  </si>
  <si>
    <t xml:space="preserve">Industry CAC range</t>
  </si>
  <si>
    <t xml:space="preserve">$1-5</t>
  </si>
  <si>
    <t xml:space="preserve">Family entertainment industry benchmark</t>
  </si>
  <si>
    <t xml:space="preserve">◆  LTV / CAC  RATIO  (the key unit economics metric)</t>
  </si>
  <si>
    <t xml:space="preserve">CAC</t>
  </si>
  <si>
    <t xml:space="preserve">LTV / CAC ratio (revenue)</t>
  </si>
  <si>
    <t xml:space="preserve">Target: &gt;3x. SaaS-style metric. Higher = more efficient growth.</t>
  </si>
  <si>
    <t xml:space="preserve">LTV / CAC ratio (gross profit)</t>
  </si>
  <si>
    <t xml:space="preserve">More conservative — uses gross profit instead of revenue</t>
  </si>
  <si>
    <t xml:space="preserve">CAC payback period (months)</t>
  </si>
  <si>
    <t xml:space="preserve">How fast the contribution from a customer pays back acquisition cost</t>
  </si>
  <si>
    <t xml:space="preserve">◆  HOW  TO  READ  THIS  PAGE  (per Toufic's request)</t>
  </si>
  <si>
    <t xml:space="preserve">WHAT THIS SHEET ANSWERS:
  → 'What's the economics of one customer interaction?'
  → 'Is each visit profitable?'
  → 'How much is one customer worth over their lifetime?'
KEY METRICS EXPLAINED:
1. ARPU per visit (Average Revenue Per User per visit) = $24.70
   • Total revenue divided by total visits
   • Industry benchmark: $8-15 for FECs
   • Yours is HIGH because of premium positioning + bundle attach
2. Contribution per visit = $12.99
   • Cash margin per visit AFTER direct costs
   • This is what the visit 'leaves on the table' for fixed costs + profit
   • Industry: $4-9; yours is strong
3. LTV (Lifetime Value)
   • Total revenue per customer across their full relationship with Pixoul
   • Calc: avg visits/yr × lifetime (years) × ARPU
   • Example: 3.2 visits/yr × 4 years × $24.70 = $316
4. CAC (Customer Acquisition Cost)
   • Marketing $ spent to acquire ONE new customer
   • Calc: pillar marketing budget / new customers per year
5. LTV/CAC Ratio (54x)
   • THE key SaaS-style metric
   • Rule of thumb: &gt; 3x is healthy, &gt; 5x is excellent
   • Yours is ENORMOUS because gaming is high-frequency, low-acquisition-cost
6. CAC Payback (months)
   • How fast a customer's contribution pays back what we spent to acquire them
   • &lt;12 months is healthy; yours is &lt;1 month
WHY THIS MATTERS TO INVESTORS:
  Strong unit economics = each customer is profitable BEFORE accounting for fixed costs.
  This means scaling up = more profit (positive operating leverage).</t>
  </si>
  <si>
    <t xml:space="preserve">  Breakeven Analysis</t>
  </si>
  <si>
    <t xml:space="preserve">  Line-by-line fixed/variable · Footfall threshold</t>
  </si>
  <si>
    <t xml:space="preserve">◆  P&amp;L  BREAKEVEN  (revenue = total costs)</t>
  </si>
  <si>
    <t xml:space="preserve">Annualized</t>
  </si>
  <si>
    <t xml:space="preserve">Fixed costs (annual)</t>
  </si>
  <si>
    <t xml:space="preserve">Linked to 3·Costs R31 (line-by-line)</t>
  </si>
  <si>
    <t xml:space="preserve">60% of total costs are fixed (estimate)</t>
  </si>
  <si>
    <t xml:space="preserve">Variable cost ratio</t>
  </si>
  <si>
    <t xml:space="preserve">Linked to 3·Costs R33 (V costs/revenue)</t>
  </si>
  <si>
    <t xml:space="preserve">Variable cost as % of revenue</t>
  </si>
  <si>
    <t xml:space="preserve">1 - variable cost ratio</t>
  </si>
  <si>
    <t xml:space="preserve">BREAKEVEN REVENUE (annual)</t>
  </si>
  <si>
    <t xml:space="preserve">Fixed costs / contribution margin</t>
  </si>
  <si>
    <t xml:space="preserve">BREAKEVEN FOOTFALL (visitors/year)</t>
  </si>
  <si>
    <t xml:space="preserve">Breakeven revenue / ARPU per visit</t>
  </si>
  <si>
    <t xml:space="preserve">Current footfall (mature)</t>
  </si>
  <si>
    <t xml:space="preserve">From 1·Drivers</t>
  </si>
  <si>
    <t xml:space="preserve">Safety margin</t>
  </si>
  <si>
    <t xml:space="preserve">How much footfall buffer above breakeven</t>
  </si>
  <si>
    <t xml:space="preserve">◆  CAPEX  PAYBACK  (annual cash flow vs initial investment)</t>
  </si>
  <si>
    <t xml:space="preserve">From Master Capex Schedule (VR rigs + cabinets + fit-out)</t>
  </si>
  <si>
    <t xml:space="preserve">Y1 Operating Cash Flow</t>
  </si>
  <si>
    <t xml:space="preserve">From 9·Cash Flow</t>
  </si>
  <si>
    <t xml:space="preserve">Mature year cash generation</t>
  </si>
  <si>
    <t xml:space="preserve">Simple Payback (capex / mature OCF)</t>
  </si>
  <si>
    <t xml:space="preserve">Years to recover initial investment at mature OCF</t>
  </si>
  <si>
    <t xml:space="preserve">Annual return on invested capital (mature)</t>
  </si>
  <si>
    <t xml:space="preserve">◆  CUMULATIVE  PAYBACK  TRACKER</t>
  </si>
  <si>
    <t xml:space="preserve">Annual OCF</t>
  </si>
  <si>
    <t xml:space="preserve">Y0 — Initial Investment</t>
  </si>
  <si>
    <t xml:space="preserve">Capex deployment</t>
  </si>
  <si>
    <t xml:space="preserve">  Physical Capacity Limits</t>
  </si>
  <si>
    <t xml:space="preserve">  VR · Arcade · Redemption max throughput</t>
  </si>
  <si>
    <t xml:space="preserve">◆  CAPACITY  ANALYSIS  BY  STREAM  (per week)</t>
  </si>
  <si>
    <t xml:space="preserve">Capacity (plays/wk)</t>
  </si>
  <si>
    <t xml:space="preserve">Current Plan (plays/wk)</t>
  </si>
  <si>
    <t xml:space="preserve">Utilization %</t>
  </si>
  <si>
    <t xml:space="preserve">Headroom %</t>
  </si>
  <si>
    <t xml:space="preserve">34 stations × 7.5 sessions/hr × 12hr × 7 days</t>
  </si>
  <si>
    <t xml:space="preserve">32 std cabs × 12 plays/hr + 8 prem × 8 plays/hr × 12hr × 7 days</t>
  </si>
  <si>
    <t xml:space="preserve">25 cabinets × 8 plays/hr × 12hr × 7 days</t>
  </si>
  <si>
    <t xml:space="preserve">◆  REVENUE  CEILING  vs  CURRENT  PLAN</t>
  </si>
  <si>
    <t xml:space="preserve">Util %</t>
  </si>
  <si>
    <t xml:space="preserve">Implied Footfall/wk</t>
  </si>
  <si>
    <t xml:space="preserve">vs Current</t>
  </si>
  <si>
    <t xml:space="preserve">Current plan</t>
  </si>
  <si>
    <t xml:space="preserve">Mature year, undiscounted</t>
  </si>
  <si>
    <t xml:space="preserve">Stretch (+25% footfall)</t>
  </si>
  <si>
    <t xml:space="preserve">Aggressive marketing + brand awareness</t>
  </si>
  <si>
    <t xml:space="preserve">Bull case (+50% footfall)</t>
  </si>
  <si>
    <t xml:space="preserve">Major events partnership, FIFA boost</t>
  </si>
  <si>
    <t xml:space="preserve">Theoretical ceiling (full capacity)</t>
  </si>
  <si>
    <t xml:space="preserve">Physical max — not realistic, shows headroom</t>
  </si>
  <si>
    <t xml:space="preserve">INSIGHT — INVESTOR NARRATIVE:
Current plan models conservative ~25% utilization across streams. Real venue capacity supports 4× current plan. This means downside is bounded (we have huge buffer to breakeven) AND upside is real (venue can handle 2× growth without expansion). Every additional 100 visitors/week ≈ $130K annual revenue at current ARPU.</t>
  </si>
  <si>
    <t xml:space="preserve">  Operating KPIs</t>
  </si>
  <si>
    <t xml:space="preserve">  Tracking metrics and operational targets</t>
  </si>
  <si>
    <t xml:space="preserve">◆  WEEKLY  KPIs  (track these to manage the business)</t>
  </si>
  <si>
    <t xml:space="preserve">'Threshold' column = ALARM LEVEL</t>
  </si>
  <si>
    <t xml:space="preserve">Target</t>
  </si>
  <si>
    <t xml:space="preserve">Threshold (alert)</t>
  </si>
  <si>
    <t xml:space="preserve">Owner</t>
  </si>
  <si>
    <t xml:space="preserve">How to measure</t>
  </si>
  <si>
    <t xml:space="preserve">(value at which to raise concern)</t>
  </si>
  <si>
    <t xml:space="preserve">Weekly footfall</t>
  </si>
  <si>
    <t xml:space="preserve">&lt;80% of target</t>
  </si>
  <si>
    <t xml:space="preserve">Weekly</t>
  </si>
  <si>
    <t xml:space="preserve">Venue Manager</t>
  </si>
  <si>
    <t xml:space="preserve">POS visitor count + manual entry door</t>
  </si>
  <si>
    <t xml:space="preserve">Bundle attach rate (VR)</t>
  </si>
  <si>
    <t xml:space="preserve">&lt;30%</t>
  </si>
  <si>
    <t xml:space="preserve">Sales Lead</t>
  </si>
  <si>
    <t xml:space="preserve">POS reports — bundle vs PPP split</t>
  </si>
  <si>
    <t xml:space="preserve">Examples:</t>
  </si>
  <si>
    <t xml:space="preserve">Bundle attach rate (Arcade)</t>
  </si>
  <si>
    <t xml:space="preserve">&lt;35%</t>
  </si>
  <si>
    <t xml:space="preserve">POS reports</t>
  </si>
  <si>
    <t xml:space="preserve">  '&lt;80% of target' = if actual</t>
  </si>
  <si>
    <t xml:space="preserve">ARPU per visit</t>
  </si>
  <si>
    <t xml:space="preserve">&lt;$15</t>
  </si>
  <si>
    <t xml:space="preserve">Total revenue / total visits</t>
  </si>
  <si>
    <t xml:space="preserve">  drops below 80% → ALERT</t>
  </si>
  <si>
    <t xml:space="preserve">Repeat visit rate</t>
  </si>
  <si>
    <t xml:space="preserve">Monthly</t>
  </si>
  <si>
    <t xml:space="preserve">Marketing</t>
  </si>
  <si>
    <t xml:space="preserve">Loyalty card / phone number tracking</t>
  </si>
  <si>
    <t xml:space="preserve">  '&lt;30%' = if KPI drops below</t>
  </si>
  <si>
    <t xml:space="preserve">Equipment uptime %</t>
  </si>
  <si>
    <t xml:space="preserve">&lt;90%</t>
  </si>
  <si>
    <t xml:space="preserve">Tech Lead</t>
  </si>
  <si>
    <t xml:space="preserve">Maintenance log / downtime tracker</t>
  </si>
  <si>
    <t xml:space="preserve">  30% → ALERT</t>
  </si>
  <si>
    <t xml:space="preserve">Staff productivity ($/FTE/yr)</t>
  </si>
  <si>
    <t xml:space="preserve">&lt;$40K</t>
  </si>
  <si>
    <t xml:space="preserve">Operations</t>
  </si>
  <si>
    <t xml:space="preserve">Revenue / FTE count</t>
  </si>
  <si>
    <t xml:space="preserve">Customer NPS</t>
  </si>
  <si>
    <t xml:space="preserve">&lt;30</t>
  </si>
  <si>
    <t xml:space="preserve">Quarterly</t>
  </si>
  <si>
    <t xml:space="preserve">Post-visit survey</t>
  </si>
  <si>
    <t xml:space="preserve">These are NOT assumptions —</t>
  </si>
  <si>
    <t xml:space="preserve">Safety incidents</t>
  </si>
  <si>
    <t xml:space="preserve">&gt;2/month</t>
  </si>
  <si>
    <t xml:space="preserve">Incident log</t>
  </si>
  <si>
    <t xml:space="preserve">they are operational alarm levels.</t>
  </si>
  <si>
    <t xml:space="preserve">&gt;25%</t>
  </si>
  <si>
    <t xml:space="preserve">Prize spend / redemption revenue</t>
  </si>
  <si>
    <t xml:space="preserve">Customize based on your tolerance.</t>
  </si>
  <si>
    <t xml:space="preserve">◆  MONTHLY  FINANCIAL  KPIs</t>
  </si>
  <si>
    <t xml:space="preserve">Y4 Target</t>
  </si>
  <si>
    <t xml:space="preserve">Monthly revenue</t>
  </si>
  <si>
    <t xml:space="preserve">CFO</t>
  </si>
  <si>
    <t xml:space="preserve">Master P&amp;L</t>
  </si>
  <si>
    <t xml:space="preserve">Monthly gross contribution</t>
  </si>
  <si>
    <t xml:space="preserve">&lt;70% of target</t>
  </si>
  <si>
    <t xml:space="preserve">&lt;45%</t>
  </si>
  <si>
    <t xml:space="preserve">GC / Revenue</t>
  </si>
  <si>
    <t xml:space="preserve">Monthly OCF</t>
  </si>
  <si>
    <t xml:space="preserve">Negative</t>
  </si>
  <si>
    <t xml:space="preserve">Sheet 9 OCF</t>
  </si>
  <si>
    <t xml:space="preserve">LTV / CAC ratio</t>
  </si>
  <si>
    <t xml:space="preserve">&lt;3x</t>
  </si>
  <si>
    <t xml:space="preserve">Marketing+CFO</t>
  </si>
  <si>
    <t xml:space="preserve">Sheet 10 calc</t>
  </si>
  <si>
    <t xml:space="preserve">Payback period</t>
  </si>
  <si>
    <t xml:space="preserve">&gt;5 years</t>
  </si>
  <si>
    <t xml:space="preserve">Annually</t>
  </si>
  <si>
    <t xml:space="preserve">Sheet 11 calc</t>
  </si>
  <si>
    <t xml:space="preserve">◆  KEY  TO  THE  RED  THRESHOLDS  (per Toufic's request)</t>
  </si>
  <si>
    <t xml:space="preserve">WHY THE RED:
  The values in red ('&lt; 80% of target', '&lt; 30%', etc.) are NOT assumptions — they are
  ALERT THRESHOLDS for management. If actual performance breaches these, it's a 'red flag'
  warning sign that something is going wrong.
EXAMPLES:
  • Weekly footfall threshold: '&lt; 80% of target'
    → If actual footfall is below 80% of your weekly target, raise alarm.
    → Action: investigate marketing, weather, competing events
  • Bundle attach rate threshold: '&lt; 30%'
    → If less than 30% of customers buy bundles, your pricing strategy isn't landing.
    → Action: review pricing, train staff on upsell
  • Equipment uptime threshold: '&lt; 90%'
    → If equipment uptime drops below 90%, maintenance is failing.
    → Action: review service contracts, replace aging hardware
  • Gross margin threshold: '&lt; 45%'
    → If gross margin drops below 45%, costs are creeping up faster than revenue.
    → Action: review pricing, supplier costs, staffing levels
USAGE: This is operational tooling, not financial modeling.
  Set targets by quarter. Track weekly/monthly. Red = act NOW, not later.
  These thresholds should be DISCUSSED in monthly ops reviews.</t>
  </si>
  <si>
    <t xml:space="preserve">  Bear / Base / Bull Scenarios</t>
  </si>
  <si>
    <t xml:space="preserve">  Driver values per scenario · Probability-weighted</t>
  </si>
  <si>
    <t xml:space="preserve">◆  DRIVER  VALUES  AT  EACH  SCENARIO  (read from 1·Drivers!R137-143)</t>
  </si>
  <si>
    <t xml:space="preserve">Drivers!R139</t>
  </si>
  <si>
    <t xml:space="preserve">Drivers!R140</t>
  </si>
  <si>
    <t xml:space="preserve">Drivers!R141</t>
  </si>
  <si>
    <t xml:space="preserve">VR PPP peak price</t>
  </si>
  <si>
    <t xml:space="preserve">Drivers!R142</t>
  </si>
  <si>
    <t xml:space="preserve">Y1 ramp utilization</t>
  </si>
  <si>
    <t xml:space="preserve">Drivers!R143</t>
  </si>
  <si>
    <t xml:space="preserve">◆  IMPLIED  REVENUE  AT  EACH  SCENARIO  (linear approximation from footfall)</t>
  </si>
  <si>
    <t xml:space="preserve">Note: For exact scenario revenue, set the toggle (G5 in Drivers or H7 in Summary) and read 2·Revenue!D58.</t>
  </si>
  <si>
    <t xml:space="preserve">Footfall ratio approximation</t>
  </si>
  <si>
    <t xml:space="preserve">◆  PROBABILITY-WEIGHTED  EXPECTED  VALUE</t>
  </si>
  <si>
    <t xml:space="preserve">PROBABILITY-WEIGHTED Y4 REVENUE</t>
  </si>
  <si>
    <t xml:space="preserve">◆  METHODOLOGY  NOTE  —  Gaming Bear/Bull approximation</t>
  </si>
  <si>
    <t xml:space="preserve">⊙ Gaming · Scenarios C17/E17 (Bear/Bull) use a FOOTFALL-ONLY scaling approximation, not full bottoms-up rebuild.</t>
  </si>
  <si>
    <t xml:space="preserve">⊙ Formula: Bear Y4 Revenue = Base Y4 Revenue × (Bear weekly footfall / Base weekly footfall)</t>
  </si>
  <si>
    <t xml:space="preserve">⊙                       = $835,214 × (630/900) = $584,650</t>
  </si>
  <si>
    <t xml:space="preserve">⊙ Why footfall-only: Gaming Drivers rows 7-11 contain BEAR/BASE/BULL scenario values for footfall, VR allocation,</t>
  </si>
  <si>
    <t xml:space="preserve">   bundle adoption, PPP peak price, and Y1 ramp utilization — but only the FOOTFALL value (R7) is wired downstream.</t>
  </si>
  <si>
    <t xml:space="preserve">   The other scenario columns (R8-R11 BEAR/BULL) exist as planned variables but are not connected to Revenue calc.</t>
  </si>
  <si>
    <t xml:space="preserve">⊙ Implication: Bear/Bull scenarios for Gaming reflect ONLY visitor volume changes (630/900/1500 weekly footfall).</t>
  </si>
  <si>
    <t xml:space="preserve">   They do NOT reflect simultaneous changes in VR allocation %, bundle adoption %, or pricing across scenarios.</t>
  </si>
  <si>
    <t xml:space="preserve">⊙ Defensibility: Footfall is the dominant Gaming driver (linear scaler for ~85% of revenue). Other drivers</t>
  </si>
  <si>
    <t xml:space="preserve">   move proportionally with footfall in reality (lower visitors → lower bundle adoption etc.) so the approximation</t>
  </si>
  <si>
    <t xml:space="preserve">   captures roughly 70-80% of true Bear/Bull variation. For full bottoms-up scenarios, see Sensitivity tab.</t>
  </si>
  <si>
    <t xml:space="preserve">⚠ This is the ONLY pillar using footfall-only scaling. The other 8 pillars (Events, Academy, Esports, Museum,</t>
  </si>
  <si>
    <t xml:space="preserve">   Subleasing, F&amp;B, Sponsorships, Borderless) all use bottoms-up Bear/Bull from explicit C/D/E driver columns.</t>
  </si>
  <si>
    <t xml:space="preserve">⊙ Future fix path: wire Gaming Drivers R18 (VR alloc), R36 (bundle %), R40 (PPP peak), R63 (Arcade rate) to read</t>
  </si>
  <si>
    <t xml:space="preserve">   from R8-R11 BEAR/BASE/BULL columns via IF(G5...) toggle, then C17/E17 can be rebuilt as bottoms-up.</t>
  </si>
  <si>
    <t xml:space="preserve">  Sensitivity Analysis</t>
  </si>
  <si>
    <t xml:space="preserve">  First-principles ±10% / ±20% on key drivers</t>
  </si>
  <si>
    <t xml:space="preserve">◆  SENSITIVITY  ANALYSIS  (first-principles re-calculation per driver)</t>
  </si>
  <si>
    <t xml:space="preserve">Each row recomputes total revenue using the shadow calculator with one driver shifted ±10% / ±20%, others held at base.</t>
  </si>
  <si>
    <t xml:space="preserve">VR bundle % adoption</t>
  </si>
  <si>
    <t xml:space="preserve">% impact of footfall ±20%</t>
  </si>
  <si>
    <t xml:space="preserve">FIRST-PRINCIPLES METHOD:
Each cell uses the shadow revenue formula with ONE driver shifted ±10%/±20%, all others at base. Other revenue streams (Arcade + Redemption + Parties) are held constant at their actual driver values. The math is identical to the live model — these are exact numbers, not approximations.
FOR FULL SCENARIO RECALC: Set the master toggle (0·SUMMARY!H7) to BEAR/BASE/BULL and read 2·Revenue!D58.</t>
  </si>
  <si>
    <t xml:space="preserve">  Industry Benchmarks</t>
  </si>
  <si>
    <t xml:space="preserve">  Casablanca · GCC premium · Global FEC comparables</t>
  </si>
  <si>
    <t xml:space="preserve">◆  OPERATING  METRICS  vs  INDUSTRY</t>
  </si>
  <si>
    <t xml:space="preserve">Pixoul (us)</t>
  </si>
  <si>
    <t xml:space="preserve">  Operating days/year</t>
  </si>
  <si>
    <t xml:space="preserve">350</t>
  </si>
  <si>
    <t xml:space="preserve">Standard for FEC venues</t>
  </si>
  <si>
    <t xml:space="preserve">  Daily operating hours</t>
  </si>
  <si>
    <t xml:space="preserve">12</t>
  </si>
  <si>
    <t xml:space="preserve">10am-10pm typical</t>
  </si>
  <si>
    <t xml:space="preserve">500-1,500</t>
  </si>
  <si>
    <t xml:space="preserve">Premium urban FEC range</t>
  </si>
  <si>
    <t xml:space="preserve">  Direct staff FTE</t>
  </si>
  <si>
    <t xml:space="preserve">12-20</t>
  </si>
  <si>
    <t xml:space="preserve">Mid-size FEC staffing</t>
  </si>
  <si>
    <t xml:space="preserve">  Gross margin %</t>
  </si>
  <si>
    <t xml:space="preserve">55-70%</t>
  </si>
  <si>
    <t xml:space="preserve">IAAPA / IBISWorld FEC data</t>
  </si>
  <si>
    <t xml:space="preserve">◆  PRICING  BENCHMARKS  (NEW — per Toufic's request)</t>
  </si>
  <si>
    <t xml:space="preserve">Activity / Bundle</t>
  </si>
  <si>
    <t xml:space="preserve">Casablanca Avg</t>
  </si>
  <si>
    <t xml:space="preserve">UAE / GCC</t>
  </si>
  <si>
    <t xml:space="preserve">  VR session — off-peak</t>
  </si>
  <si>
    <t xml:space="preserve">$6-10</t>
  </si>
  <si>
    <t xml:space="preserve">$15-25</t>
  </si>
  <si>
    <t xml:space="preserve">Casa premium positioning</t>
  </si>
  <si>
    <t xml:space="preserve">  VR session — peak</t>
  </si>
  <si>
    <t xml:space="preserve">$10-15</t>
  </si>
  <si>
    <t xml:space="preserve">$20-35</t>
  </si>
  <si>
    <t xml:space="preserve">Weekend premium</t>
  </si>
  <si>
    <t xml:space="preserve">  VR bundle (10 plays)</t>
  </si>
  <si>
    <t xml:space="preserve">$20-30</t>
  </si>
  <si>
    <t xml:space="preserve">$40-60</t>
  </si>
  <si>
    <t xml:space="preserve">Effective $2.50/play</t>
  </si>
  <si>
    <t xml:space="preserve">✓ Resolved → see expanded comparison + sources below</t>
  </si>
  <si>
    <t xml:space="preserve">  Arcade — standard play</t>
  </si>
  <si>
    <t xml:space="preserve">$2-4</t>
  </si>
  <si>
    <t xml:space="preserve">$3-5</t>
  </si>
  <si>
    <t xml:space="preserve">Per-play</t>
  </si>
  <si>
    <t xml:space="preserve">  Arcade — premium play</t>
  </si>
  <si>
    <t xml:space="preserve">$4-7</t>
  </si>
  <si>
    <t xml:space="preserve">$5-8</t>
  </si>
  <si>
    <t xml:space="preserve">Motion/multi-player</t>
  </si>
  <si>
    <t xml:space="preserve">  Arcade bundle (10 plays)</t>
  </si>
  <si>
    <t xml:space="preserve">$30-50</t>
  </si>
  <si>
    <t xml:space="preserve">Effective $2/play</t>
  </si>
  <si>
    <t xml:space="preserve">  Redemption — per play</t>
  </si>
  <si>
    <t xml:space="preserve">$1-2</t>
  </si>
  <si>
    <t xml:space="preserve">$1.50-3</t>
  </si>
  <si>
    <t xml:space="preserve">Ticket/prize games</t>
  </si>
  <si>
    <t xml:space="preserve">  Party package (10-12 kids)</t>
  </si>
  <si>
    <t xml:space="preserve">$250-400</t>
  </si>
  <si>
    <t xml:space="preserve">$500-800</t>
  </si>
  <si>
    <t xml:space="preserve">Includes games + cake</t>
  </si>
  <si>
    <t xml:space="preserve">◆  ARPU  &amp;  CAPACITY  BENCHMARKS</t>
  </si>
  <si>
    <t xml:space="preserve">Pixoul</t>
  </si>
  <si>
    <t xml:space="preserve">Industry Range</t>
  </si>
  <si>
    <t xml:space="preserve">  ARPU per visit (blended)</t>
  </si>
  <si>
    <t xml:space="preserve">FEC industry data</t>
  </si>
  <si>
    <t xml:space="preserve">  Revenue per sqm/yr</t>
  </si>
  <si>
    <t xml:space="preserve">$700-1,500</t>
  </si>
  <si>
    <t xml:space="preserve">Assuming 2,000 sqm Gaming Hall</t>
  </si>
  <si>
    <t xml:space="preserve">  Revenue per FTE/yr</t>
  </si>
  <si>
    <t xml:space="preserve">$80K-130K</t>
  </si>
  <si>
    <t xml:space="preserve">FTE productivity</t>
  </si>
  <si>
    <t xml:space="preserve">  Plays per visitor</t>
  </si>
  <si>
    <t xml:space="preserve">4-7</t>
  </si>
  <si>
    <t xml:space="preserve">Weighted by activity</t>
  </si>
  <si>
    <t xml:space="preserve">◆  COMPARISON  TABLE  —  Pixoul  vs  Industry  (with sources)</t>
  </si>
  <si>
    <t xml:space="preserve">Casa Avg</t>
  </si>
  <si>
    <t xml:space="preserve">GCC Premium</t>
  </si>
  <si>
    <t xml:space="preserve">Position</t>
  </si>
  <si>
    <t xml:space="preserve">1,000-3,000</t>
  </si>
  <si>
    <t xml:space="preserve">Pixoul UAE / IAAPA FEC data</t>
  </si>
  <si>
    <t xml:space="preserve">  VR session price (peak)</t>
  </si>
  <si>
    <t xml:space="preserve">Casa pricing study (Dec 2025)</t>
  </si>
  <si>
    <t xml:space="preserve">  VR bundle price (10 plays)</t>
  </si>
  <si>
    <t xml:space="preserve">Pixoul UAE pilot data</t>
  </si>
  <si>
    <t xml:space="preserve">  Arcade per-play (standard)</t>
  </si>
  <si>
    <t xml:space="preserve">Casa FEC field survey</t>
  </si>
  <si>
    <t xml:space="preserve">  Arcade per-play (premium)</t>
  </si>
  <si>
    <t xml:space="preserve">  Redemption per-play</t>
  </si>
  <si>
    <t xml:space="preserve">IAAPA / regional FECs</t>
  </si>
  <si>
    <t xml:space="preserve">  Party package</t>
  </si>
  <si>
    <t xml:space="preserve">Local FEC quotes (Casa)</t>
  </si>
  <si>
    <t xml:space="preserve">  Avg salary per FTE</t>
  </si>
  <si>
    <t xml:space="preserve">$5-9K</t>
  </si>
  <si>
    <t xml:space="preserve">$15-30K</t>
  </si>
  <si>
    <t xml:space="preserve">Casa wage data 2025</t>
  </si>
  <si>
    <t xml:space="preserve">  Payroll tax %</t>
  </si>
  <si>
    <t xml:space="preserve">21% (CNSS+IR)</t>
  </si>
  <si>
    <t xml:space="preserve">0-5%</t>
  </si>
  <si>
    <t xml:space="preserve">Morocco statutory</t>
  </si>
  <si>
    <t xml:space="preserve">55-65%</t>
  </si>
  <si>
    <t xml:space="preserve">60-70%</t>
  </si>
  <si>
    <t xml:space="preserve">FEC industry benchmarks</t>
  </si>
  <si>
    <t xml:space="preserve">$30-60K</t>
  </si>
  <si>
    <t xml:space="preserve">$80-150K</t>
  </si>
  <si>
    <t xml:space="preserve">Productivity benchmark</t>
  </si>
  <si>
    <t xml:space="preserve">  ARPU per visit</t>
  </si>
  <si>
    <t xml:space="preserve">$15-30</t>
  </si>
  <si>
    <t xml:space="preserve">SOURCES KEY:
• Pixoul UAE: actual operating data from existing UAE flagship
• IAAPA: International Association of Amusement Parks &amp; Attractions, 2024 industry report
• Casa pricing study: Field survey of 12 Casablanca FECs conducted Dec 2025
• Morocco statutory: CNSS social security + IR income tax published rates
• Casa wage data 2025: HRBP Maroc salary survey + GIM-MENA benchmarks
• FEC industry benchmarks: IBISWorld FEC industry report, Sept 2025</t>
  </si>
  <si>
    <t xml:space="preserve">  Master Investor Model Integration</t>
  </si>
  <si>
    <t xml:space="preserve">  Cross-pillar references and master sheet pull-throughs</t>
  </si>
  <si>
    <t xml:space="preserve">◆  KEY  EXPORT  CELLS  (link these to Master)</t>
  </si>
  <si>
    <t xml:space="preserve">Master Cell</t>
  </si>
  <si>
    <t xml:space="preserve">This Pillar Source</t>
  </si>
  <si>
    <t xml:space="preserve">Master '2. Pillar Revenue Build'!C11</t>
  </si>
  <si>
    <t xml:space="preserve">Bottom-up Gaming Hall revenue (mature)</t>
  </si>
  <si>
    <t xml:space="preserve">Master '2. Pillar Revenue Build'!D11</t>
  </si>
  <si>
    <t xml:space="preserve">Total direct costs</t>
  </si>
  <si>
    <t xml:space="preserve">Master '2. Pillar Revenue Build'!E11</t>
  </si>
  <si>
    <t xml:space="preserve">Gross contribution</t>
  </si>
  <si>
    <t xml:space="preserve">Master '4. 5-Year P&amp;L'!C5</t>
  </si>
  <si>
    <t xml:space="preserve">Y1 revenue</t>
  </si>
  <si>
    <t xml:space="preserve">Master '4. 5-Year P&amp;L'!D5</t>
  </si>
  <si>
    <t xml:space="preserve">Y2 revenue</t>
  </si>
  <si>
    <t xml:space="preserve">Master '4. 5-Year P&amp;L'!E5</t>
  </si>
  <si>
    <t xml:space="preserve">Y3 revenue</t>
  </si>
  <si>
    <t xml:space="preserve">Master '4. 5-Year P&amp;L'!F5</t>
  </si>
  <si>
    <t xml:space="preserve">Y4 revenue (mature)</t>
  </si>
  <si>
    <t xml:space="preserve">Master '4. 5-Year P&amp;L'!G5</t>
  </si>
  <si>
    <t xml:space="preserve">Y5 revenue</t>
  </si>
  <si>
    <t xml:space="preserve">◆  CROSS-PILLAR  DEPENDENCIES</t>
  </si>
  <si>
    <t xml:space="preserve">CATERING (cross-pillar with F&amp;B):
• This pillar books $87K (formula-driven, see 1·Drivers!C151) cost on '3·Costs' R22 (catering line)
• F&amp;B Pillar (07_Pixoul_FB.xlsx) books offsetting revenue + margin
• At Master level: visible internal transfer, net effect = F&amp;B margin only
MARKETING &amp; CARD SYSTEM:
• REMOVED from this pillar (per Toufic)
• Now live at Master OpEx level — applied centrally across all pillars
• See Master '3. OpEx Build' for consolidated marketing + payment processing</t>
  </si>
  <si>
    <t xml:space="preserve">  Events · SUMMARY Dashboard</t>
  </si>
  <si>
    <t xml:space="preserve">  Headline KPIs · Master Scenario Toggle · 8-year projection · Workbook navigation</t>
  </si>
  <si>
    <t xml:space="preserve">◆  HEADLINE  METRICS  AT  MATURITY  (Y4)</t>
  </si>
  <si>
    <t xml:space="preserve">  Corporate Events</t>
  </si>
  <si>
    <t xml:space="preserve">  Private Events</t>
  </si>
  <si>
    <t xml:space="preserve">  Esports Events</t>
  </si>
  <si>
    <t xml:space="preserve">  EVA (Empty Venue Activation)</t>
  </si>
  <si>
    <t xml:space="preserve">◆  WORKBOOK  NAVIGATION  (16 tabs in this pillar)</t>
  </si>
  <si>
    <t xml:space="preserve">  SUMMARY</t>
  </si>
  <si>
    <t xml:space="preserve">This dashboard — headline KPIs + scenario toggle + tab map</t>
  </si>
  <si>
    <t xml:space="preserve">  Drivers</t>
  </si>
  <si>
    <t xml:space="preserve">Inputs: scenario toggle + cost drivers + utilization engine</t>
  </si>
  <si>
    <t xml:space="preserve">Bottom-up build: streams → annual revenue (live-linked to Master)</t>
  </si>
  <si>
    <t xml:space="preserve">  Costs</t>
  </si>
  <si>
    <t xml:space="preserve">Direct costs: F/V split + per-line behavior + gross contribution</t>
  </si>
  <si>
    <t xml:space="preserve">  8-Year</t>
  </si>
  <si>
    <t xml:space="preserve">8-year ramp: Y1 startup → Y4 mature → Y8 horizon, cumulative tracking</t>
  </si>
  <si>
    <t xml:space="preserve">  P&amp;L</t>
  </si>
  <si>
    <t xml:space="preserve">8-year P&amp;L summary with stream pull-through + key metrics</t>
  </si>
  <si>
    <t xml:space="preserve">  MASTER LINK</t>
  </si>
  <si>
    <t xml:space="preserve">  Sensitivity</t>
  </si>
  <si>
    <t xml:space="preserve">Tornado chart — top driver sensitivities ±20% on EBITDA</t>
  </si>
  <si>
    <t xml:space="preserve">  Benchmarks</t>
  </si>
  <si>
    <t xml:space="preserve">  Cash Flow</t>
  </si>
  <si>
    <t xml:space="preserve">Operating cash flow + working capital + maintenance capex (8-year)</t>
  </si>
  <si>
    <t xml:space="preserve">Per-unit ARPU, contribution, LTV, CAC, LTV/CAC ratio</t>
  </si>
  <si>
    <t xml:space="preserve">  Breakeven</t>
  </si>
  <si>
    <t xml:space="preserve">Breakeven volume, payback period, cumulative payback tracker</t>
  </si>
  <si>
    <t xml:space="preserve">  Capacity Ceiling</t>
  </si>
  <si>
    <t xml:space="preserve">  KPI Dashboard</t>
  </si>
  <si>
    <t xml:space="preserve">Operations + financial KPIs with targets, owners, frequency</t>
  </si>
  <si>
    <t xml:space="preserve">  Scenarios</t>
  </si>
  <si>
    <t xml:space="preserve">  Assumptions</t>
  </si>
  <si>
    <t xml:space="preserve">◆  MEDINA  LAB  CONTEXT  (this pillar's share of the platform)</t>
  </si>
  <si>
    <t xml:space="preserve">Medina Lab Total</t>
  </si>
  <si>
    <t xml:space="preserve">Events % of Total</t>
  </si>
  <si>
    <t xml:space="preserve">Live-linked to Master Revenue</t>
  </si>
  <si>
    <t xml:space="preserve">Live-linked to Master Cost</t>
  </si>
  <si>
    <t xml:space="preserve">— see Exec Summary</t>
  </si>
  <si>
    <t xml:space="preserve">Cumulative across 8 years</t>
  </si>
  <si>
    <t xml:space="preserve">Initial capex allocated</t>
  </si>
  <si>
    <t xml:space="preserve">EDITABLE — from Master CapEx Schedule when finalized</t>
  </si>
  <si>
    <t xml:space="preserve">◆  INVESTOR  POSITIONING</t>
  </si>
  <si>
    <t xml:space="preserve">Multi-purpose venue with capacity-driven economics. Even at low event demand, EVA monetizes idle days. Differentiated by event type with full P&amp;L transparency.</t>
  </si>
  <si>
    <t xml:space="preserve">  Drivers · Scenario Engine · Utilization</t>
  </si>
  <si>
    <t xml:space="preserve">  Edit BASE column to change defaults · All downstream auto-flows · Toggle at G5</t>
  </si>
  <si>
    <t xml:space="preserve">🎯 SCENARIO MODE</t>
  </si>
  <si>
    <t xml:space="preserve">🎯  SCENARIO  LOOKUP  TABLE  —  edit BASE column to change defaults</t>
  </si>
  <si>
    <t xml:space="preserve">← Linked to 0·SUMMARY!H7 (BEAR/BASE/BULL)</t>
  </si>
  <si>
    <t xml:space="preserve">  Corporate events / month</t>
  </si>
  <si>
    <t xml:space="preserve">⚠ Base = 10/mo aggressive for Y1 — assume Y3 mature</t>
  </si>
  <si>
    <t xml:space="preserve">  Private events / month</t>
  </si>
  <si>
    <t xml:space="preserve">Weddings, birthdays, brand parties</t>
  </si>
  <si>
    <t xml:space="preserve">  Esports events / month</t>
  </si>
  <si>
    <t xml:space="preserve">Tournaments + livestreams</t>
  </si>
  <si>
    <t xml:space="preserve">  Avg ticket — Corporate ($)</t>
  </si>
  <si>
    <t xml:space="preserve">All-in: venue + AV + catering</t>
  </si>
  <si>
    <t xml:space="preserve">  Avg ticket — Private ($)</t>
  </si>
  <si>
    <t xml:space="preserve">Wedding/private party packages</t>
  </si>
  <si>
    <t xml:space="preserve">  Avg ticket — Esports ($)</t>
  </si>
  <si>
    <t xml:space="preserve">Tournament fees + sponsorship slot</t>
  </si>
  <si>
    <t xml:space="preserve">  Attendees per event</t>
  </si>
  <si>
    <t xml:space="preserve">Drives F&amp;B cross-pillar revenue</t>
  </si>
  <si>
    <t xml:space="preserve">  F&amp;B spend / head ($)</t>
  </si>
  <si>
    <t xml:space="preserve">Sent to F&amp;B pillar — NOT booked here</t>
  </si>
  <si>
    <t xml:space="preserve">  EVA revenue / day ($)</t>
  </si>
  <si>
    <t xml:space="preserve">⚠ Aspirational — needs active sales motion</t>
  </si>
  <si>
    <t xml:space="preserve">◆  ACTIVE  SCENARIO  OUTPUTS  (toggle-wired — edit scenario table above to change)</t>
  </si>
  <si>
    <t xml:space="preserve">  Active Corporate events / month</t>
  </si>
  <si>
    <t xml:space="preserve">→ used in Revenue calcs</t>
  </si>
  <si>
    <t xml:space="preserve">  Active Private events / month</t>
  </si>
  <si>
    <t xml:space="preserve">  Active Esports events / month</t>
  </si>
  <si>
    <t xml:space="preserve">  Active Corp avg ticket</t>
  </si>
  <si>
    <t xml:space="preserve">→ Revenue per corp event</t>
  </si>
  <si>
    <t xml:space="preserve">  Active Private avg ticket</t>
  </si>
  <si>
    <t xml:space="preserve">→ Revenue per private event</t>
  </si>
  <si>
    <t xml:space="preserve">  Active Esports avg ticket</t>
  </si>
  <si>
    <t xml:space="preserve">→ Revenue per esports event</t>
  </si>
  <si>
    <t xml:space="preserve">  Active attendees per event</t>
  </si>
  <si>
    <t xml:space="preserve">→ F&amp;B cross-pillar driver</t>
  </si>
  <si>
    <t xml:space="preserve">  Active F&amp;B spend per head</t>
  </si>
  <si>
    <t xml:space="preserve">  Active EVA revenue / day</t>
  </si>
  <si>
    <t xml:space="preserve">→ Idle day fallback rate</t>
  </si>
  <si>
    <t xml:space="preserve">  Days per month (operating)</t>
  </si>
  <si>
    <t xml:space="preserve">Avg operating days — same across scenarios</t>
  </si>
  <si>
    <t xml:space="preserve">  Months per year</t>
  </si>
  <si>
    <t xml:space="preserve">◆  UTILIZATION  ENGINE  (capacity monetization — handles idle days via EVA)</t>
  </si>
  <si>
    <t xml:space="preserve">  Total events / month (all types)</t>
  </si>
  <si>
    <t xml:space="preserve">Sum: Corp + Private + Esports</t>
  </si>
  <si>
    <t xml:space="preserve">  Event days used / month</t>
  </si>
  <si>
    <t xml:space="preserve">MIN(events, days) — assumes 1 event/day max</t>
  </si>
  <si>
    <t xml:space="preserve">  Idle days / month (available for EVA)</t>
  </si>
  <si>
    <t xml:space="preserve">Operating days minus event days used</t>
  </si>
  <si>
    <t xml:space="preserve">  Event utilization %</t>
  </si>
  <si>
    <t xml:space="preserve">Fraction of days hosting events</t>
  </si>
  <si>
    <t xml:space="preserve">  EVA revenue / month (idle monetization)</t>
  </si>
  <si>
    <t xml:space="preserve">⚠ v49: Applied 35% utilization factor (was 100% of idle days). Realistic empty-venue rental conversion. Was: no note</t>
  </si>
  <si>
    <t xml:space="preserve">Idle days × per-day EVA rate (scales inverse to occupancy)</t>
  </si>
  <si>
    <t xml:space="preserve">◆  CROSS-PILLAR  REFERENCES  (these flow OUT to other pillars — do NOT book in Events)</t>
  </si>
  <si>
    <t xml:space="preserve">  F&amp;B revenue from events (annual) →</t>
  </si>
  <si>
    <t xml:space="preserve">→ books in Pillar 07 F&amp;B</t>
  </si>
  <si>
    <t xml:space="preserve">Total events × attendees × spend/head × 12 months</t>
  </si>
  <si>
    <t xml:space="preserve">  Total annual attendees →</t>
  </si>
  <si>
    <t xml:space="preserve">Drives footfall narrative for Sponsorship pillar</t>
  </si>
  <si>
    <t xml:space="preserve">◆  COST  DRIVERS  (used by 3·Costs)</t>
  </si>
  <si>
    <t xml:space="preserve">  FIXED costs (annual)</t>
  </si>
  <si>
    <t xml:space="preserve">    Event manager salary (annual, fully loaded)</t>
  </si>
  <si>
    <t xml:space="preserve">Senior event manager / sales lead for 6,300 sqm venue · $36-48K Casablanca market · $40K mid</t>
  </si>
  <si>
    <t xml:space="preserve">Event mgr/sales lead — bumped from $24K (senior + BD)</t>
  </si>
  <si>
    <t xml:space="preserve">    Operations staff (annual, fully loaded)</t>
  </si>
  <si>
    <t xml:space="preserve">1 FTE Operations coordinator</t>
  </si>
  <si>
    <t xml:space="preserve">    Base utilities (annual)</t>
  </si>
  <si>
    <t xml:space="preserve">    Maintenance (annual)</t>
  </si>
  <si>
    <t xml:space="preserve">Includes damage/replacement reserve · ~1.9% of Y4 revenue</t>
  </si>
  <si>
    <t xml:space="preserve">Maintenance + AV refresh — bumped from $4.8K</t>
  </si>
  <si>
    <t xml:space="preserve">    Rent allocation (annual)</t>
  </si>
  <si>
    <t xml:space="preserve">→ Centralized: Master OpEx Facility Rent $700K</t>
  </si>
  <si>
    <t xml:space="preserve">  VARIABLE costs (per event)</t>
  </si>
  <si>
    <t xml:space="preserve">    Event setup cost (per event)</t>
  </si>
  <si>
    <t xml:space="preserve">Setup labor (~4 ppl × 4hr Casa rate)</t>
  </si>
  <si>
    <t xml:space="preserve">    Cleaning cost (per event)</t>
  </si>
  <si>
    <t xml:space="preserve">Cleaning crew per event (bumped from $100)</t>
  </si>
  <si>
    <t xml:space="preserve">    Security cost (per event)</t>
  </si>
  <si>
    <t xml:space="preserve">Security 2 guards × 6hr (Casa $5/hr norm)</t>
  </si>
  <si>
    <t xml:space="preserve">    Equipment wear (per event)</t>
  </si>
  <si>
    <t xml:space="preserve">Equipment wear/refresh reserve (bumped from $50)</t>
  </si>
  <si>
    <t xml:space="preserve">  SEMI-VARIABLE costs</t>
  </si>
  <si>
    <t xml:space="preserve">    Variable utilities (per event)</t>
  </si>
  <si>
    <t xml:space="preserve">Variable utilities per event (bumped from $75)</t>
  </si>
  <si>
    <t xml:space="preserve">◆  ADDITIONAL  FIXED  COSTS  (rebuild Apr 2026)</t>
  </si>
  <si>
    <t xml:space="preserve">    Event planner / coordinator (1 FTE)</t>
  </si>
  <si>
    <t xml:space="preserve">Mid-level event planner $22-30K Casablanca market · $28K reflects mature operation</t>
  </si>
  <si>
    <t xml:space="preserve">Casa mid-level — runs client-side coordination</t>
  </si>
  <si>
    <t xml:space="preserve">    AV technician (0.5 FTE shared w/ Esports)</t>
  </si>
  <si>
    <t xml:space="preserve">Part-time AV setup/teardown</t>
  </si>
  <si>
    <t xml:space="preserve">    Marketing / BD allocation</t>
  </si>
  <si>
    <t xml:space="preserve">Events pillar's share of marketing budget</t>
  </si>
  <si>
    <t xml:space="preserve">    Insurance + permits</t>
  </si>
  <si>
    <t xml:space="preserve">Liability + event permits</t>
  </si>
  <si>
    <t xml:space="preserve">    Subtotal NEW fixed (annual)</t>
  </si>
  <si>
    <t xml:space="preserve">Computed: SUM(C63:C66)</t>
  </si>
  <si>
    <t xml:space="preserve">◆  PER-EVENT  EXTRAS  BY  TYPE  (added on top of baseline variable)</t>
  </si>
  <si>
    <t xml:space="preserve">    Corporate event extra (AV/tech)</t>
  </si>
  <si>
    <t xml:space="preserve">AV/sound + tech rental — corporates need full kit</t>
  </si>
  <si>
    <t xml:space="preserve">    Private event extra (decor)</t>
  </si>
  <si>
    <t xml:space="preserve">Decor/florals/lighting — wedding production</t>
  </si>
  <si>
    <t xml:space="preserve">    Esports event extra (livestream)</t>
  </si>
  <si>
    <t xml:space="preserve">Streaming setup + livestream tech + casting</t>
  </si>
  <si>
    <t xml:space="preserve">  BD junior (0.5 FTE — closes funnel sales gap)</t>
  </si>
  <si>
    <t xml:space="preserve">NEW Apr 2026 — 0.5 FTE Casa BD ($22K × 50%); closes 23 leads/mo gap</t>
  </si>
  <si>
    <t xml:space="preserve">◆  CAPACITY  CONSTRAINT  (max events / week — operational ceiling)</t>
  </si>
  <si>
    <t xml:space="preserve">    Max events / week (Bear / Base / Bull)</t>
  </si>
  <si>
    <t xml:space="preserve">Operational ceiling — staff + venue turnaround</t>
  </si>
  <si>
    <t xml:space="preserve">    Active max events / month (×4.3 weeks)</t>
  </si>
  <si>
    <t xml:space="preserve">Monthly cap — Bear 25.8, Base 34.4, Bull 43.0</t>
  </si>
  <si>
    <t xml:space="preserve">    Current active total events / month</t>
  </si>
  <si>
    <t xml:space="preserve">Live-link to existing total (C32)</t>
  </si>
  <si>
    <t xml:space="preserve">    Capacity status</t>
  </si>
  <si>
    <t xml:space="preserve">Alert if active &gt; monthly ceiling</t>
  </si>
  <si>
    <t xml:space="preserve">    Capacity utilization vs ceiling</t>
  </si>
  <si>
    <t xml:space="preserve">Active / monthly ceiling — % of operational max</t>
  </si>
  <si>
    <t xml:space="preserve">◆  DEMAND  ENGINE  —  A. LEAD  FUNNEL  BY  EVENT  TYPE  (Apr 2026)</t>
  </si>
  <si>
    <t xml:space="preserve">  Corporate events — funnel</t>
  </si>
  <si>
    <t xml:space="preserve">    Corporate qualified leads / month</t>
  </si>
  <si>
    <t xml:space="preserve">Bear -20% / Bull +20% sales effort; ~90-day cycle</t>
  </si>
  <si>
    <t xml:space="preserve">Corporate conversion rate</t>
  </si>
  <si>
    <t xml:space="preserve">Industry: 15-25% for corporate venue rentals; Casa hotel comps</t>
  </si>
  <si>
    <t xml:space="preserve">Corporate bookings / month (implied)</t>
  </si>
  <si>
    <t xml:space="preserve">Leads × conversion = monthly bookings demand can support</t>
  </si>
  <si>
    <t xml:space="preserve">Variance vs Drivers C7 (Corp Base)</t>
  </si>
  <si>
    <t xml:space="preserve">Positive = demand exceeds plan; Negative = pipeline gap</t>
  </si>
  <si>
    <t xml:space="preserve">  Private events — funnel</t>
  </si>
  <si>
    <t xml:space="preserve">    Private qualified leads / month</t>
  </si>
  <si>
    <t xml:space="preserve">Bear -20% / Bull +20% inbound; ~6-month cycle</t>
  </si>
  <si>
    <t xml:space="preserve">Private conversion rate</t>
  </si>
  <si>
    <t xml:space="preserve">Industry: 30-40% for wedding/private venues w/ tour</t>
  </si>
  <si>
    <t xml:space="preserve">Private bookings / month (implied)</t>
  </si>
  <si>
    <t xml:space="preserve">Leads × conversion</t>
  </si>
  <si>
    <t xml:space="preserve">Variance vs Drivers C8 (Private Base)</t>
  </si>
  <si>
    <t xml:space="preserve">  Esports events — funnel</t>
  </si>
  <si>
    <t xml:space="preserve">    Esports qualified leads / month</t>
  </si>
  <si>
    <t xml:space="preserve">Bear -20% / Bull +20% sponsor + tournament IP</t>
  </si>
  <si>
    <t xml:space="preserve">Esports conversion rate</t>
  </si>
  <si>
    <t xml:space="preserve">Higher conversion: tournament IP + sponsor relationships pre-vetted</t>
  </si>
  <si>
    <t xml:space="preserve">Esports bookings / month (implied)</t>
  </si>
  <si>
    <t xml:space="preserve">Variance vs Drivers C9 (Esports Base)</t>
  </si>
  <si>
    <t xml:space="preserve">◆  DEMAND  ENGINE  —  B. MONTHLY  SEASONALITY  (12-month index, 1.0 = average)</t>
  </si>
  <si>
    <t xml:space="preserve">Event type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</si>
  <si>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</si>
  <si>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</si>
  <si>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</si>
  <si>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</si>
  <si>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</si>
  <si>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</si>
  <si>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</si>
  <si>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</si>
  <si>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</si>
  <si>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</si>
  <si>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</si>
  <si>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</si>
  <si>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Avg (must=1.0)</t>
  </si>
  <si>
    <t xml:space="preserve">  Corporate (peaks Sep-Jun, dips summer/Dec)</t>
  </si>
  <si>
    <t xml:space="preserve">  Private (peaks May-Oct = wedding season)</t>
  </si>
  <si>
    <t xml:space="preserve">  Esports (relatively flat — tournament-driven)</t>
  </si>
  <si>
    <t xml:space="preserve">  ⚠ Validation: each row Avg should = 1.00 (annual events unchanged; only timing shifts)</t>
  </si>
  <si>
    <t xml:space="preserve">  Implied monthly bookings (Base × seasonality)</t>
  </si>
  <si>
    <t xml:space="preserve">    Corporate (D7 × season)</t>
  </si>
  <si>
    <t xml:space="preserve">    Private (D8 × season)</t>
  </si>
  <si>
    <t xml:space="preserve">    Esports (D9 × season)</t>
  </si>
  <si>
    <t xml:space="preserve">    TOTAL events / month</t>
  </si>
  <si>
    <t xml:space="preserve">    Capacity ceiling (events/mo)</t>
  </si>
  <si>
    <t xml:space="preserve">    Capacity status by month</t>
  </si>
  <si>
    <t xml:space="preserve">◆  DEMAND  ENGINE  —  C. SALES  CAPACITY  CHECK  (can the team handle the funnel?)</t>
  </si>
  <si>
    <t xml:space="preserve">Sales / BD FTE count</t>
  </si>
  <si>
    <t xml:space="preserve">Event manager (C47) splits time: ~50% sales, 50% ops</t>
  </si>
  <si>
    <t xml:space="preserve">Leads handled per FTE per month</t>
  </si>
  <si>
    <t xml:space="preserve">Casa BD norm: 60-100 qualified leads/mo per BD FTE</t>
  </si>
  <si>
    <t xml:space="preserve">Max lead throughput (leads/mo)</t>
  </si>
  <si>
    <t xml:space="preserve">Sales capacity ceiling for lead handling</t>
  </si>
  <si>
    <t xml:space="preserve">Total leads required (Corp+Priv+Esp)</t>
  </si>
  <si>
    <t xml:space="preserve">Sum of all funnels above</t>
  </si>
  <si>
    <t xml:space="preserve">Sales capacity utilization</t>
  </si>
  <si>
    <t xml:space="preserve">Required vs available; &gt;100% = under-staffed</t>
  </si>
  <si>
    <t xml:space="preserve">  Sales capacity status</t>
  </si>
  <si>
    <t xml:space="preserve">Avg FTE cost per BD (annual, fully loaded)</t>
  </si>
  <si>
    <t xml:space="preserve">Casa mid-level BD FTE; for capacity expansion calc</t>
  </si>
  <si>
    <t xml:space="preserve">Cost to add 1 BD FTE if capacity exceeded</t>
  </si>
  <si>
    <t xml:space="preserve">Conditional cost if must hire to meet demand</t>
  </si>
  <si>
    <t xml:space="preserve">◆  DEMAND  ENGINE  —  D. DEMAND  vs  SUPPLY  RECONCILIATION</t>
  </si>
  <si>
    <t xml:space="preserve">FUNNEL implies events/month (sum)</t>
  </si>
  <si>
    <t xml:space="preserve">What lead funnel says we can book</t>
  </si>
  <si>
    <t xml:space="preserve">DRIVERS Base events/month (current)</t>
  </si>
  <si>
    <t xml:space="preserve">What revenue model assumes</t>
  </si>
  <si>
    <t xml:space="preserve">Variance (funnel - drivers)</t>
  </si>
  <si>
    <t xml:space="preserve">Positive = funnel can deliver more; Negative = funnel falls short</t>
  </si>
  <si>
    <t xml:space="preserve">Variance %</t>
  </si>
  <si>
    <t xml:space="preserve">±10% = aligned; &gt;+20% = funnel has slack; &lt;-20% = pipeline gap</t>
  </si>
  <si>
    <t xml:space="preserve">  Reconciliation status</t>
  </si>
  <si>
    <t xml:space="preserve">FUNNEL-implied annual events</t>
  </si>
  <si>
    <t xml:space="preserve">Funnel × 12 months</t>
  </si>
  <si>
    <t xml:space="preserve">REVENUE MODEL annual events</t>
  </si>
  <si>
    <t xml:space="preserve">From utilization engine (row 32 × 12)</t>
  </si>
  <si>
    <t xml:space="preserve">Implied annual revenue (funnel × avg ticket)</t>
  </si>
  <si>
    <t xml:space="preserve">What revenue WOULD be if funnel matches reality</t>
  </si>
  <si>
    <t xml:space="preserve">Modeled annual revenue (current Drivers)</t>
  </si>
  <si>
    <t xml:space="preserve">What revenue model says today</t>
  </si>
  <si>
    <t xml:space="preserve">Revenue gap (funnel vs model)</t>
  </si>
  <si>
    <t xml:space="preserve">Quantifies $ impact of funnel/model mismatch</t>
  </si>
  <si>
    <t xml:space="preserve">INTERPRETATION GUIDE: Variance ±10% = aligned (model is realistic). Funnel slack (&gt;+20%) = sales pipeline can support upside vs Base; could justify Bull case. Pipeline gap (&lt;-20%) = revenue model is over-projecting vs realistic lead generation; either lower event counts OR invest in lead-gen / BD hiring. Sales capacity check: if leads required &gt; FTE throughput, must hire BD ($22K/yr per FTE) OR reduce funnel targets. Seasonality: corp dips Jul-Aug + Dec; private peaks May-Oct (Casa wedding season).</t>
  </si>
  <si>
    <t xml:space="preserve">◆  DEMAND  CONSTRAINT  CHECK  —  bind funnel to revenue (FLAG-ONLY enforcement)</t>
  </si>
  <si>
    <t xml:space="preserve">REQUIRED events / month (revenue model)</t>
  </si>
  <si>
    <t xml:space="preserve">From Drivers C7-C9 (Base scenario active)</t>
  </si>
  <si>
    <t xml:space="preserve">SUPPORTED events / month (funnel × conversion)</t>
  </si>
  <si>
    <t xml:space="preserve">From funnel: leads × conversion, scenario-aware</t>
  </si>
  <si>
    <t xml:space="preserve">CONSTRAINT RATIO (Supported ÷ Required)</t>
  </si>
  <si>
    <t xml:space="preserve">100% = aligned · &gt;100% = funnel slack · &lt;100% = pipeline gap</t>
  </si>
  <si>
    <t xml:space="preserve">  DEMAND CONSTRAINT STATUS</t>
  </si>
  <si>
    <t xml:space="preserve">  Per-type constraint detail (Supported vs Required)</t>
  </si>
  <si>
    <t xml:space="preserve">Required/mo</t>
  </si>
  <si>
    <t xml:space="preserve">Supported/mo</t>
  </si>
  <si>
    <t xml:space="preserve">Ratio</t>
  </si>
  <si>
    <t xml:space="preserve">  Corporate</t>
  </si>
  <si>
    <t xml:space="preserve">  Private</t>
  </si>
  <si>
    <t xml:space="preserve">  Constraint ratio across scenarios (toggle G5 to verify)</t>
  </si>
  <si>
    <t xml:space="preserve">Required</t>
  </si>
  <si>
    <t xml:space="preserve">Supported</t>
  </si>
  <si>
    <t xml:space="preserve">INTERPRETATION: Constraint ratio ≥100% means the demand funnel can deliver the events the revenue model assumes. &lt;100% = pipeline gap (consider reducing event counts OR adding sales investment). ⚠ FLAG-ONLY enforcement: this section warns but does NOT cap revenue. Toggle scenario in 0·SUMMARY (or row 5 G5) to see Bear/Base/Bull constraint dynamics.</t>
  </si>
  <si>
    <t xml:space="preserve">◆  MIX  SHIFT  SENSITIVITY  (event mix risk — what if Y1 reality differs from Base?)</t>
  </si>
  <si>
    <t xml:space="preserve">Mix scenario</t>
  </si>
  <si>
    <t xml:space="preserve">Corp</t>
  </si>
  <si>
    <t xml:space="preserve">Private</t>
  </si>
  <si>
    <t xml:space="preserve">Total/mo</t>
  </si>
  <si>
    <t xml:space="preserve">Blended ticket</t>
  </si>
  <si>
    <t xml:space="preserve">Annual revenue</t>
  </si>
  <si>
    <t xml:space="preserve">  CURRENT BASE (Drivers)</t>
  </si>
  <si>
    <t xml:space="preserve">— BASE</t>
  </si>
  <si>
    <t xml:space="preserve">  Corp-heavy (50% corp)</t>
  </si>
  <si>
    <t xml:space="preserve">  Private-heavy (62% private)</t>
  </si>
  <si>
    <t xml:space="preserve">  Esports-heavy (31% esports)</t>
  </si>
  <si>
    <t xml:space="preserve">  Balanced (1/3 each)</t>
  </si>
  <si>
    <t xml:space="preserve">  ⚠ Worst-case (private + low corp)</t>
  </si>
  <si>
    <t xml:space="preserve">Mix shift sensitivity: All scenarios hold TOTAL events/mo ≈ 26 (capacity-feasible). Worst-case (private-heavy + low corp Y1) drops revenue ~$300-400K vs Base. Mitigation: aggressive corporate BD push in Y1 (justifies the 0.5 BD junior FTE added in row 73).</t>
  </si>
  <si>
    <t xml:space="preserve">◆  SEASONALITY  STRESS  TEST  (peak month overflow vs capacity ceiling)</t>
  </si>
  <si>
    <t xml:space="preserve">Stress scenario</t>
  </si>
  <si>
    <t xml:space="preserve">Sep peak events</t>
  </si>
  <si>
    <t xml:space="preserve">vs Cap</t>
  </si>
  <si>
    <t xml:space="preserve">Overflow</t>
  </si>
  <si>
    <t xml:space="preserve">Lost rev/Sep</t>
  </si>
  <si>
    <t xml:space="preserve">Annual lost rev (3 peak mo)</t>
  </si>
  <si>
    <t xml:space="preserve">  Base (26 ev/mo)</t>
  </si>
  <si>
    <t xml:space="preserve">  +20% volume (31 ev/mo)</t>
  </si>
  <si>
    <t xml:space="preserve">  Bull case (36 ev/mo)</t>
  </si>
  <si>
    <t xml:space="preserve">Seasonality stress: At Base 26 ev/mo, peak Sep ≈ 32 events (92% capacity, OK). At Bull 36 ev/mo, peak Sep ≈ 51 events vs 34.4 cap → ~17 events overflow → ~$320K lost revenue (3 peak months Jun/Sep/Oct). Mitigations: (1) book ahead pipeline, (2) add weekend overflow capacity, (3) cap Bull case at ~30 ev/mo unless capacity infrastructure invested.</t>
  </si>
  <si>
    <t xml:space="preserve">  Assumption Register · Events Hall</t>
  </si>
  <si>
    <t xml:space="preserve">  32 assumptions · Sources · Confidence pre-classified · Sensitivity quantified</t>
  </si>
  <si>
    <t xml:space="preserve">⚠  CONFIDENCE = my pre-class (HIGH/MED/LOW); please review and override. SENSITIVITY = revenue/EBITDA impact at ±20%. ⚠ MAJOR REBUILD Apr 2026: cost differentiated by event type.</t>
  </si>
  <si>
    <t xml:space="preserve">◆  EVENT  VOLUME  &amp;  MIX</t>
  </si>
  <si>
    <t xml:space="preserve">  Corporate events / month (Base)</t>
  </si>
  <si>
    <t xml:space="preserve">Pixoul UAE comp</t>
  </si>
  <si>
    <t xml:space="preserve">MED  ⚠ pending</t>
  </si>
  <si>
    <t xml:space="preserve">10/mo Y4 mature; 6 Bear / 16 Bull; ⚠ aggressive for Y1</t>
  </si>
  <si>
    <t xml:space="preserve">  Private events / month (Base)</t>
  </si>
  <si>
    <t xml:space="preserve">Casa private demand est.</t>
  </si>
  <si>
    <t xml:space="preserve">12/mo Y4; weddings/birthdays/parties</t>
  </si>
  <si>
    <t xml:space="preserve">  Esports events / month (Base)</t>
  </si>
  <si>
    <t xml:space="preserve">Tournament cadence</t>
  </si>
  <si>
    <t xml:space="preserve">MED</t>
  </si>
  <si>
    <t xml:space="preserve">4/mo Y4; tournaments + brand activations</t>
  </si>
  <si>
    <t xml:space="preserve">  Total events / year</t>
  </si>
  <si>
    <t xml:space="preserve">Computed</t>
  </si>
  <si>
    <t xml:space="preserve">HIGH  ⚠ pending</t>
  </si>
  <si>
    <t xml:space="preserve">312/yr = 26/mo; vs 34/mo cap = 76% util</t>
  </si>
  <si>
    <t xml:space="preserve">  Avg attendees per event</t>
  </si>
  <si>
    <t xml:space="preserve">Casa venue capacity</t>
  </si>
  <si>
    <t xml:space="preserve">100 attendees Y4; drives F&amp;B + Sponsorship</t>
  </si>
  <si>
    <t xml:space="preserve">◆  EVENT  PRICING</t>
  </si>
  <si>
    <t xml:space="preserve">  Corporate event price (Base)</t>
  </si>
  <si>
    <t xml:space="preserve">Casa hotel comp</t>
  </si>
  <si>
    <t xml:space="preserve">$8K/event Y4; Casa luxury hotels $10-30K</t>
  </si>
  <si>
    <t xml:space="preserve">  Private event price (Base)</t>
  </si>
  <si>
    <t xml:space="preserve">Casa wedding venue %</t>
  </si>
  <si>
    <t xml:space="preserve">$4.5K/event Y4; all-in $10-50K, venue ~25-35%</t>
  </si>
  <si>
    <t xml:space="preserve">  Esports event price (Base)</t>
  </si>
  <si>
    <t xml:space="preserve">Tournament + sponsor</t>
  </si>
  <si>
    <t xml:space="preserve">LOW  ⚠ pending</t>
  </si>
  <si>
    <t xml:space="preserve">$6K/event Y4; ⚠ depends on sponsor BD</t>
  </si>
  <si>
    <t xml:space="preserve">  EVA revenue / day (Base)</t>
  </si>
  <si>
    <t xml:space="preserve">Idle-day target</t>
  </si>
  <si>
    <t xml:space="preserve">⚠ $1K/day ASPIRATIONAL</t>
  </si>
  <si>
    <t xml:space="preserve">◆  CAPACITY  CONSTRAINT  (NEW Apr 2026)</t>
  </si>
  <si>
    <t xml:space="preserve">  Max events per WEEK (Base)</t>
  </si>
  <si>
    <t xml:space="preserve">Operational ceiling</t>
  </si>
  <si>
    <t xml:space="preserve">NEW — 8/wk Base = 34/mo; FTE limit</t>
  </si>
  <si>
    <t xml:space="preserve">  Max events per MONTH</t>
  </si>
  <si>
    <t xml:space="preserve">Weekly × 4.3</t>
  </si>
  <si>
    <t xml:space="preserve">Derived from weekly cap</t>
  </si>
  <si>
    <t xml:space="preserve">  Capacity utilization</t>
  </si>
  <si>
    <t xml:space="preserve">76% Base = healthy; alert if &gt;90%</t>
  </si>
  <si>
    <t xml:space="preserve">◆  COST  STRUCTURE  —  FIXED  (REBUILT)</t>
  </si>
  <si>
    <t xml:space="preserve">  Event manager (1 FTE)</t>
  </si>
  <si>
    <t xml:space="preserve">Casa senior FTE rate</t>
  </si>
  <si>
    <t xml:space="preserve">$30K (was $24K) — senior + BD</t>
  </si>
  <si>
    <t xml:space="preserve">  Operations coordinator (1 FTE)</t>
  </si>
  <si>
    <t xml:space="preserve">Casa entry-mid rate</t>
  </si>
  <si>
    <t xml:space="preserve">$18K Casa entry-mid</t>
  </si>
  <si>
    <t xml:space="preserve">  Event planner (1 FTE)</t>
  </si>
  <si>
    <t xml:space="preserve">NEW — Casa mid-level</t>
  </si>
  <si>
    <t xml:space="preserve">NEW $22K — client liaison</t>
  </si>
  <si>
    <t xml:space="preserve">  AV technician (0.5 FTE)</t>
  </si>
  <si>
    <t xml:space="preserve">NEW — shared</t>
  </si>
  <si>
    <t xml:space="preserve">NEW $12K — shared w/ Esports</t>
  </si>
  <si>
    <t xml:space="preserve">  Marketing / BD allocation</t>
  </si>
  <si>
    <t xml:space="preserve">NEW — sales push</t>
  </si>
  <si>
    <t xml:space="preserve">NEW $8K</t>
  </si>
  <si>
    <t xml:space="preserve">  Insurance + permits</t>
  </si>
  <si>
    <t xml:space="preserve">NEW — Casa liability</t>
  </si>
  <si>
    <t xml:space="preserve">NEW $4K</t>
  </si>
  <si>
    <t xml:space="preserve">  Base utilities (annual)</t>
  </si>
  <si>
    <t xml:space="preserve">Casa Class A baseline</t>
  </si>
  <si>
    <t xml:space="preserve">$8K (was $6K) — bumped</t>
  </si>
  <si>
    <t xml:space="preserve">  Maintenance (annual)</t>
  </si>
  <si>
    <t xml:space="preserve">AV refresh</t>
  </si>
  <si>
    <t xml:space="preserve">$8K (was $4.8K) — bumped</t>
  </si>
  <si>
    <t xml:space="preserve">  Rent allocation (annual)</t>
  </si>
  <si>
    <t xml:space="preserve">Pillar share of 6,300sqm</t>
  </si>
  <si>
    <t xml:space="preserve">$30K (was $18K) — Events largest</t>
  </si>
  <si>
    <t xml:space="preserve">◆  COST  STRUCTURE  —  VARIABLE  (REBUILT)</t>
  </si>
  <si>
    <t xml:space="preserve">  Setup labor (per event)</t>
  </si>
  <si>
    <t xml:space="preserve">Casa labor × hours</t>
  </si>
  <si>
    <t xml:space="preserve">$200/ev = 4ppl × 4hr × Casa rate</t>
  </si>
  <si>
    <t xml:space="preserve">  Cleaning (per event)</t>
  </si>
  <si>
    <t xml:space="preserve">Casa cleanup</t>
  </si>
  <si>
    <t xml:space="preserve">$120/ev</t>
  </si>
  <si>
    <t xml:space="preserve">  Security (per event)</t>
  </si>
  <si>
    <t xml:space="preserve">Casa guards</t>
  </si>
  <si>
    <t xml:space="preserve">$120 = 2 × 6hr × Casa rate</t>
  </si>
  <si>
    <t xml:space="preserve">  Equipment wear (per event)</t>
  </si>
  <si>
    <t xml:space="preserve">AV/lighting reserve</t>
  </si>
  <si>
    <t xml:space="preserve">$150/ev</t>
  </si>
  <si>
    <t xml:space="preserve">  Variable utilities (per event)</t>
  </si>
  <si>
    <t xml:space="preserve">Power/HVAC during event</t>
  </si>
  <si>
    <t xml:space="preserve">$100/ev</t>
  </si>
  <si>
    <t xml:space="preserve">  Corporate event extras</t>
  </si>
  <si>
    <t xml:space="preserve">NEW — pro AV</t>
  </si>
  <si>
    <t xml:space="preserve">NEW $600/ev = corp AV setup</t>
  </si>
  <si>
    <t xml:space="preserve">  Private event extras</t>
  </si>
  <si>
    <t xml:space="preserve">NEW — decor</t>
  </si>
  <si>
    <t xml:space="preserve">NEW $550/ev = wedding decor</t>
  </si>
  <si>
    <t xml:space="preserve">  Esports event extras</t>
  </si>
  <si>
    <t xml:space="preserve">NEW — streaming</t>
  </si>
  <si>
    <t xml:space="preserve">NEW $700/ev = streaming + casting</t>
  </si>
  <si>
    <t xml:space="preserve">◆  CROSS-PILLAR  REFERENCES</t>
  </si>
  <si>
    <t xml:space="preserve">  F&amp;B spend / head</t>
  </si>
  <si>
    <t xml:space="preserve">Casa catering</t>
  </si>
  <si>
    <t xml:space="preserve">$10/head — books in F&amp;B</t>
  </si>
  <si>
    <t xml:space="preserve">  F&amp;B revenue from events</t>
  </si>
  <si>
    <t xml:space="preserve">Cross-pillar</t>
  </si>
  <si>
    <t xml:space="preserve">Events × attendees × spend × 12</t>
  </si>
  <si>
    <t xml:space="preserve">  Total annual attendees</t>
  </si>
  <si>
    <t xml:space="preserve">Drives Sponsorship valuation</t>
  </si>
  <si>
    <t xml:space="preserve">ℹ  AUDIT  NOTE  &amp;  LEGEND</t>
  </si>
  <si>
    <t xml:space="preserve">CONFIDENCE: HIGH (green) = validated; MED (saffron) = industry comparable; LOW (red) = needs validation. SENSITIVITY: HIGH = ±20% moves Y4 EBITDA &gt;$50K; MED = $20-50K; LOW = &lt;$20K. ⚠ APRIL 2026 COST REBUILD: per-event variable differentiated by type. Margin moved from 86.3% (unrealistic) to 72.2% (defensible). Platform EBITDA $4.06M → $3.79M.</t>
  </si>
  <si>
    <t xml:space="preserve">  Capacity utilization factor</t>
  </si>
  <si>
    <t xml:space="preserve">  Premium event conversion</t>
  </si>
  <si>
    <t xml:space="preserve">  Fixed cost share (of total costs)</t>
  </si>
  <si>
    <t xml:space="preserve">  Variable cost share (of total costs)</t>
  </si>
  <si>
    <t xml:space="preserve">  Revenue Build · Events + EVA</t>
  </si>
  <si>
    <t xml:space="preserve">  Pure event revenue + idle-day EVA fallback · F&amp;B is cross-pillar (not booked here)</t>
  </si>
  <si>
    <t xml:space="preserve">◆  EVENT  REVENUE  STREAMS  (3 streams · monthly × 12)</t>
  </si>
  <si>
    <t xml:space="preserve">Events/mo</t>
  </si>
  <si>
    <t xml:space="preserve">Avg ticket</t>
  </si>
  <si>
    <t xml:space="preserve">Active corp events × avg ticket × 12 months</t>
  </si>
  <si>
    <t xml:space="preserve">  Private Events (weddings, parties)</t>
  </si>
  <si>
    <t xml:space="preserve">Active private events × avg ticket × 12 months</t>
  </si>
  <si>
    <t xml:space="preserve">Active esports events × avg ticket × 12 months</t>
  </si>
  <si>
    <t xml:space="preserve">  F&amp;B coordination markup (30% commission on $330K catering pool booked via F&amp;B kitchen)</t>
  </si>
  <si>
    <t xml:space="preserve">30% retained by Events Hall as part of event package · 70% flows to F&amp;B pillar · capacity-bounded ($91,800 × 30% = $27,540)</t>
  </si>
  <si>
    <t xml:space="preserve">  Event Revenue Subtotal</t>
  </si>
  <si>
    <t xml:space="preserve">◆  EVA  REVENUE  (Empty Venue Activation — idle days monetized)</t>
  </si>
  <si>
    <t xml:space="preserve">  EVA revenue (annual)</t>
  </si>
  <si>
    <t xml:space="preserve">Idle days/mo × EVA $/day × 12 × 35% utilization (v49: realistic conversion of empty-venue rentals)</t>
  </si>
  <si>
    <t xml:space="preserve">    ⚠ EVA at 35% utilization — requires active sales motion (was 100% aspirational)</t>
  </si>
  <si>
    <t xml:space="preserve">◆  TOTAL  EVENTS  HALL  REVENUE  (Mature Year — Y4)</t>
  </si>
  <si>
    <t xml:space="preserve">  TOTAL EVENTS REVENUE</t>
  </si>
  <si>
    <t xml:space="preserve">◆  CROSS-PILLAR  REVENUE  (NOT booked here — flows to other pillars)</t>
  </si>
  <si>
    <t xml:space="preserve">  ⓘ F&amp;B kitchen revenue from event attendees (booked in F&amp;B pillar)</t>
  </si>
  <si>
    <t xml:space="preserve">→ This $ amount books in Pillar 07 F&amp;B (avoids double-count)</t>
  </si>
  <si>
    <t xml:space="preserve">  ⓘ Total event attendees / year (informational — not double-booked)</t>
  </si>
  <si>
    <t xml:space="preserve">→ Drives Sponsorship pillar valuation</t>
  </si>
  <si>
    <t xml:space="preserve">  Direct Costs · F/V Classification</t>
  </si>
  <si>
    <t xml:space="preserve">  Line-by-line cost behavior · Fixed / Variable / Semi-Variable · Used by Breakeven &amp; Sensitivity</t>
  </si>
  <si>
    <t xml:space="preserve">◆  DIRECT  COSTS  (annual, mature year)</t>
  </si>
  <si>
    <t xml:space="preserve">Cost line</t>
  </si>
  <si>
    <t xml:space="preserve">% of Rev</t>
  </si>
  <si>
    <t xml:space="preserve">Per Event</t>
  </si>
  <si>
    <t xml:space="preserve">% Variable</t>
  </si>
  <si>
    <t xml:space="preserve">  Event mgr / sales lead</t>
  </si>
  <si>
    <t xml:space="preserve">1 FTE fully loaded</t>
  </si>
  <si>
    <t xml:space="preserve">  Operations coordinator</t>
  </si>
  <si>
    <t xml:space="preserve">Fixed monthly base</t>
  </si>
  <si>
    <t xml:space="preserve">AV equipment, venue cleanup</t>
  </si>
  <si>
    <t xml:space="preserve">  Marketing / BD (incl. 0.5 BD junior FTE)</t>
  </si>
  <si>
    <t xml:space="preserve">⚠ MOVED to Master Cost C44 (Central Marketing $300K) | (was: NEW Apr 2026: Marketing $8K + BD junior $11K = $19)</t>
  </si>
  <si>
    <t xml:space="preserve">  Base utilities</t>
  </si>
  <si>
    <t xml:space="preserve">AV setup × annual events</t>
  </si>
  <si>
    <t xml:space="preserve">  Maintenance + AV refresh</t>
  </si>
  <si>
    <t xml:space="preserve">Cleanup × annual events</t>
  </si>
  <si>
    <t xml:space="preserve">  Rent allocation</t>
  </si>
  <si>
    <t xml:space="preserve">Guards × annual events</t>
  </si>
  <si>
    <t xml:space="preserve">  -- Variable per-event (differentiated by event type) --</t>
  </si>
  <si>
    <t xml:space="preserve">Reserve × annual events</t>
  </si>
  <si>
    <t xml:space="preserve">  Corporate variable (per event × annual)</t>
  </si>
  <si>
    <t xml:space="preserve"> | + $400/event contract labor (servers, setup crew)</t>
  </si>
  <si>
    <t xml:space="preserve">  Private variable (per event × annual)</t>
  </si>
  <si>
    <t xml:space="preserve">70% variable, 30% fixed</t>
  </si>
  <si>
    <t xml:space="preserve">  Esports variable (per event × annual)</t>
  </si>
  <si>
    <t xml:space="preserve">  TOTAL DIRECT COSTS</t>
  </si>
  <si>
    <t xml:space="preserve">  Sales commission (7% on Corp+Priv)</t>
  </si>
  <si>
    <t xml:space="preserve">Industry standard 5-10% commission on corporate event sales · 7% mid-range</t>
  </si>
  <si>
    <t xml:space="preserve">◆  FIXED  /  VARIABLE  SPLIT  (line-by-line, weighted by % variable)</t>
  </si>
  <si>
    <t xml:space="preserve">  Fixed costs (total)</t>
  </si>
  <si>
    <t xml:space="preserve">  Variable costs (total)</t>
  </si>
  <si>
    <t xml:space="preserve">  Variable cost ratio (vs revenue)</t>
  </si>
  <si>
    <t xml:space="preserve">Used by Breakeven sheet</t>
  </si>
  <si>
    <t xml:space="preserve">  Validation: F + V = Total</t>
  </si>
  <si>
    <t xml:space="preserve">  Total Revenue</t>
  </si>
  <si>
    <t xml:space="preserve">  (-) Total Direct Costs</t>
  </si>
  <si>
    <t xml:space="preserve">  GROSS CONTRIBUTION</t>
  </si>
  <si>
    <t xml:space="preserve">  Gross Contribution Margin %</t>
  </si>
  <si>
    <t xml:space="preserve">  8-Year Projection · Events Hall</t>
  </si>
  <si>
    <t xml:space="preserve">  Y1-Y8 ramp + growth · Y6-Y8 = +5% YoY</t>
  </si>
  <si>
    <t xml:space="preserve">◆  REVENUE  RAMP</t>
  </si>
  <si>
    <t xml:space="preserve">  Mature run-rate (Y4 base)</t>
  </si>
  <si>
    <t xml:space="preserve">  Ramp / growth factor</t>
  </si>
  <si>
    <t xml:space="preserve">  Fixed costs (annual)</t>
  </si>
  <si>
    <t xml:space="preserve">  Variable costs (× ramp)</t>
  </si>
  <si>
    <t xml:space="preserve">  Total Direct Costs</t>
  </si>
  <si>
    <t xml:space="preserve">◆  GROSS  CONTRIBUTION  (EBITDA)</t>
  </si>
  <si>
    <t xml:space="preserve">  Gross Contribution</t>
  </si>
  <si>
    <t xml:space="preserve">  Margin %</t>
  </si>
  <si>
    <t xml:space="preserve">◆  8-YEAR  CUMULATIVE</t>
  </si>
  <si>
    <t xml:space="preserve">  8-Year Cumulative Revenue</t>
  </si>
  <si>
    <t xml:space="preserve">  8-Year Cumulative EBITDA</t>
  </si>
  <si>
    <t xml:space="preserve">  P&amp;L · Events Hall</t>
  </si>
  <si>
    <t xml:space="preserve">  Income statement view · 8-year horizon · Pillar level</t>
  </si>
  <si>
    <t xml:space="preserve">◆  REVENUE  BREAKDOWN</t>
  </si>
  <si>
    <t xml:space="preserve">  TOTAL REVENUE</t>
  </si>
  <si>
    <t xml:space="preserve">◆  DIRECT  COSTS</t>
  </si>
  <si>
    <t xml:space="preserve">  Less: Direct Costs</t>
  </si>
  <si>
    <t xml:space="preserve">  GROSS PROFIT</t>
  </si>
  <si>
    <t xml:space="preserve">◆  ALLOCATED  OVERHEAD  (illustrative)</t>
  </si>
  <si>
    <t xml:space="preserve">  Allocated Group Overhead</t>
  </si>
  <si>
    <t xml:space="preserve">◆  EBITDA  (post-allocation)</t>
  </si>
  <si>
    <t xml:space="preserve">  EBITDA (post-allocation)</t>
  </si>
  <si>
    <t xml:space="preserve">  EBITDA Margin %</t>
  </si>
  <si>
    <t xml:space="preserve">ℹ  P&amp;L  NOTES</t>
  </si>
  <si>
    <t xml:space="preserve">  •  This P&amp;L is at PILLAR LEVEL — illustrative; group overhead allocation is for show only.
  •  Master Cost sheet does NOT allocate group overhead to pillars (kept separate as Platform EBITDA).
  •  D&amp;A, Interest, Tax NOT modeled here — see Master CapEx &amp; Cash Flow sheet for ecosystem view.
  •  Revenue stream breakdown pulls from 2_Revenue; ramp from 4_8-Year.</t>
  </si>
  <si>
    <t xml:space="preserve">  Cash Flow · Events Hall</t>
  </si>
  <si>
    <t xml:space="preserve">  OCF · Working Capital · Maintenance CapEx</t>
  </si>
  <si>
    <t xml:space="preserve">◆  STARTING  POINT  (from 4_8-Year)</t>
  </si>
  <si>
    <t xml:space="preserve">  Gross Profit (EBITDA proxy)</t>
  </si>
  <si>
    <t xml:space="preserve">  Inventory (% of revenue)</t>
  </si>
  <si>
    <t xml:space="preserve">  Minimal — events pre-staged</t>
  </si>
  <si>
    <t xml:space="preserve">  Receivables (days)</t>
  </si>
  <si>
    <t xml:space="preserve">  Corporate clients pay 30 days</t>
  </si>
  <si>
    <t xml:space="preserve">  Payables (days)</t>
  </si>
  <si>
    <t xml:space="preserve">  Vendors paid net-45</t>
  </si>
  <si>
    <t xml:space="preserve">  Customer deposits (% rev)</t>
  </si>
  <si>
    <t xml:space="preserve">  Events pre-paid 50% on booking</t>
  </si>
  <si>
    <t xml:space="preserve">◆  WORKING  CAPITAL  BALANCES</t>
  </si>
  <si>
    <t xml:space="preserve">  Inventory balance</t>
  </si>
  <si>
    <t xml:space="preserve">  Receivables balance</t>
  </si>
  <si>
    <t xml:space="preserve">  Payables balance</t>
  </si>
  <si>
    <t xml:space="preserve">  Customer deposits</t>
  </si>
  <si>
    <t xml:space="preserve">  NET WORKING CAPITAL</t>
  </si>
  <si>
    <t xml:space="preserve">  Δ NWC (use of cash)</t>
  </si>
  <si>
    <t xml:space="preserve">  EBITDA (Gross Profit proxy)</t>
  </si>
  <si>
    <t xml:space="preserve">  (-) Δ NWC</t>
  </si>
  <si>
    <t xml:space="preserve">  (-) Maintenance CapEx (3% rev)</t>
  </si>
  <si>
    <t xml:space="preserve">  OPERATING CASH FLOW</t>
  </si>
  <si>
    <t xml:space="preserve">  Unit Economics · Per Event Metrics</t>
  </si>
  <si>
    <t xml:space="preserve">  Investor view: revenue per event, per day, utilization, margins</t>
  </si>
  <si>
    <t xml:space="preserve">◆  PER-EVENT  ECONOMICS</t>
  </si>
  <si>
    <t xml:space="preserve">Sum of all event types × 12 months</t>
  </si>
  <si>
    <t xml:space="preserve">  Avg revenue per event</t>
  </si>
  <si>
    <t xml:space="preserve">Event revenue ÷ total events</t>
  </si>
  <si>
    <t xml:space="preserve">  Cost per event (direct)</t>
  </si>
  <si>
    <t xml:space="preserve">Total costs ÷ total events</t>
  </si>
  <si>
    <t xml:space="preserve">  Contribution per event</t>
  </si>
  <si>
    <t xml:space="preserve">Revenue per event - Cost per event</t>
  </si>
  <si>
    <t xml:space="preserve">  Margin per event</t>
  </si>
  <si>
    <t xml:space="preserve">Contribution ÷ Revenue per event</t>
  </si>
  <si>
    <t xml:space="preserve">◆  CAPACITY  &amp;  UTILIZATION</t>
  </si>
  <si>
    <t xml:space="preserve">  Days per year (operating)</t>
  </si>
  <si>
    <t xml:space="preserve">Days/mo × 12</t>
  </si>
  <si>
    <t xml:space="preserve">  Event days used / year</t>
  </si>
  <si>
    <t xml:space="preserve">Capped utilization × 12</t>
  </si>
  <si>
    <t xml:space="preserve">  Idle days / year (EVA available)</t>
  </si>
  <si>
    <t xml:space="preserve">Operating - Used</t>
  </si>
  <si>
    <t xml:space="preserve">Days used ÷ days available</t>
  </si>
  <si>
    <t xml:space="preserve">◆  TOTAL  ECONOMICS</t>
  </si>
  <si>
    <t xml:space="preserve">  Total Revenue (Y4 mature)</t>
  </si>
  <si>
    <t xml:space="preserve">Events + EVA</t>
  </si>
  <si>
    <t xml:space="preserve">All cost lines</t>
  </si>
  <si>
    <t xml:space="preserve">Revenue - Direct costs</t>
  </si>
  <si>
    <t xml:space="preserve">Contribution ÷ Revenue</t>
  </si>
  <si>
    <t xml:space="preserve">◆  CROSS-PILLAR  IMPACT  (additional value created)</t>
  </si>
  <si>
    <t xml:space="preserve">  F&amp;B revenue driven (cross-pillar)</t>
  </si>
  <si>
    <t xml:space="preserve">Books in Pillar 07 F&amp;B</t>
  </si>
  <si>
    <t xml:space="preserve">Drives sponsorship value</t>
  </si>
  <si>
    <t xml:space="preserve">  Sponsorship value driver (1% of attendee × $5)</t>
  </si>
  <si>
    <t xml:space="preserve">Rough proxy — refine in Sponsorship pillar</t>
  </si>
  <si>
    <t xml:space="preserve">  How many events to cover fixed costs · Margin of safety vs current footing</t>
  </si>
  <si>
    <t xml:space="preserve">◆  BREAKEVEN  CALCULATION  (line-by-line F/V split)</t>
  </si>
  <si>
    <t xml:space="preserve">From 3·Costs F/V split</t>
  </si>
  <si>
    <t xml:space="preserve">  Variable cost ratio</t>
  </si>
  <si>
    <t xml:space="preserve">Variable costs ÷ revenue</t>
  </si>
  <si>
    <t xml:space="preserve">  Contribution margin %</t>
  </si>
  <si>
    <t xml:space="preserve">What's left after variable costs</t>
  </si>
  <si>
    <t xml:space="preserve">  BREAKEVEN REVENUE (annual)</t>
  </si>
  <si>
    <t xml:space="preserve">Fixed ÷ contribution margin</t>
  </si>
  <si>
    <t xml:space="preserve">  Current revenue (Y4 mature)</t>
  </si>
  <si>
    <t xml:space="preserve">Where you are today</t>
  </si>
  <si>
    <t xml:space="preserve">  Safety margin</t>
  </si>
  <si>
    <t xml:space="preserve">How much revenue can drop before loss</t>
  </si>
  <si>
    <t xml:space="preserve">◆  BREAKEVEN  IN  EVENTS</t>
  </si>
  <si>
    <t xml:space="preserve">From Unit Economics</t>
  </si>
  <si>
    <t xml:space="preserve">  Breakeven events / year</t>
  </si>
  <si>
    <t xml:space="preserve">Annual events to cover fixed costs</t>
  </si>
  <si>
    <t xml:space="preserve">  Current events / year</t>
  </si>
  <si>
    <t xml:space="preserve">What you're modeling</t>
  </si>
  <si>
    <t xml:space="preserve">  Buffer (events above breakeven)</t>
  </si>
  <si>
    <t xml:space="preserve">Cushion in event count</t>
  </si>
  <si>
    <t xml:space="preserve">  Capacity Ceiling · Events Hall</t>
  </si>
  <si>
    <t xml:space="preserve">  Maximum throughput · Reveals upper revenue bound</t>
  </si>
  <si>
    <t xml:space="preserve">◆  CAPACITY  ANALYSIS  (current vs theoretical max)</t>
  </si>
  <si>
    <t xml:space="preserve">Current Plan</t>
  </si>
  <si>
    <t xml:space="preserve">Theoretical Max</t>
  </si>
  <si>
    <t xml:space="preserve">Utilization</t>
  </si>
  <si>
    <t xml:space="preserve">  Events / year</t>
  </si>
  <si>
    <t xml:space="preserve">  Operating days × event slots/day</t>
  </si>
  <si>
    <t xml:space="preserve">  Avg attendees / event</t>
  </si>
  <si>
    <t xml:space="preserve">  Venue capacity max</t>
  </si>
  <si>
    <t xml:space="preserve">  Operating days / year</t>
  </si>
  <si>
    <t xml:space="preserve">  Closed Sundays + holidays</t>
  </si>
  <si>
    <t xml:space="preserve">  Avg revenue / event</t>
  </si>
  <si>
    <t xml:space="preserve">  Premium pricing ceiling</t>
  </si>
  <si>
    <t xml:space="preserve">Implied Revenue</t>
  </si>
  <si>
    <t xml:space="preserve">vs Base</t>
  </si>
  <si>
    <t xml:space="preserve">  Current plan (Y4 Base)</t>
  </si>
  <si>
    <t xml:space="preserve">  Locked at scenario</t>
  </si>
  <si>
    <t xml:space="preserve">  Stretch (+25% capacity)</t>
  </si>
  <si>
    <t xml:space="preserve">  Achievable with marketing push</t>
  </si>
  <si>
    <t xml:space="preserve">  Bull case (+50%)</t>
  </si>
  <si>
    <t xml:space="preserve">  Aggressive but achievable</t>
  </si>
  <si>
    <t xml:space="preserve">  Theoretical max (2x)</t>
  </si>
  <si>
    <t xml:space="preserve">  Physical capacity ceiling</t>
  </si>
  <si>
    <t xml:space="preserve">  Operating KPIs · Events Hall</t>
  </si>
  <si>
    <t xml:space="preserve">  Track to manage · Threshold = ALARM LEVEL · Owner accountability</t>
  </si>
  <si>
    <t xml:space="preserve">◆  WEEKLY  &amp;  OPERATIONAL  KPIs</t>
  </si>
  <si>
    <t xml:space="preserve">  Total events / month</t>
  </si>
  <si>
    <t xml:space="preserve">&lt; 70% of target</t>
  </si>
  <si>
    <t xml:space="preserve">Events Manager</t>
  </si>
  <si>
    <t xml:space="preserve">Booking system / CRM</t>
  </si>
  <si>
    <t xml:space="preserve">  Capacity utilization vs cap</t>
  </si>
  <si>
    <t xml:space="preserve">&lt; 50%</t>
  </si>
  <si>
    <t xml:space="preserve">Active / monthly ceiling</t>
  </si>
  <si>
    <t xml:space="preserve">  Capacity status</t>
  </si>
  <si>
    <t xml:space="preserve">EXCEEDS warning</t>
  </si>
  <si>
    <t xml:space="preserve">NEW Apr 2026 — auto-alert</t>
  </si>
  <si>
    <t xml:space="preserve">  Avg lead time (days)</t>
  </si>
  <si>
    <t xml:space="preserve">&lt; 30 days</t>
  </si>
  <si>
    <t xml:space="preserve">CRM booking-to-event date</t>
  </si>
  <si>
    <t xml:space="preserve">  Booking conversion rate</t>
  </si>
  <si>
    <t xml:space="preserve">&lt; 15%</t>
  </si>
  <si>
    <t xml:space="preserve">Confirmed / qualified</t>
  </si>
  <si>
    <t xml:space="preserve">  Event prep on-time rate</t>
  </si>
  <si>
    <t xml:space="preserve">&lt; 85%</t>
  </si>
  <si>
    <t xml:space="preserve">Per event</t>
  </si>
  <si>
    <t xml:space="preserve">Run-of-show milestones</t>
  </si>
  <si>
    <t xml:space="preserve">&lt; 60</t>
  </si>
  <si>
    <t xml:space="preserve">Headcount log</t>
  </si>
  <si>
    <t xml:space="preserve">  Repeat client rate</t>
  </si>
  <si>
    <t xml:space="preserve">&lt; 20%</t>
  </si>
  <si>
    <t xml:space="preserve">Returning / total</t>
  </si>
  <si>
    <t xml:space="preserve">  Customer NPS</t>
  </si>
  <si>
    <t xml:space="preserve">&lt; 30</t>
  </si>
  <si>
    <t xml:space="preserve">Post-event survey</t>
  </si>
  <si>
    <t xml:space="preserve">  Average review rating</t>
  </si>
  <si>
    <t xml:space="preserve">&lt; 4.0</t>
  </si>
  <si>
    <t xml:space="preserve">Google/TripAdvisor</t>
  </si>
  <si>
    <t xml:space="preserve">  Complaint / incident rate</t>
  </si>
  <si>
    <t xml:space="preserve">&gt; 10%</t>
  </si>
  <si>
    <t xml:space="preserve">Formal complaints</t>
  </si>
  <si>
    <t xml:space="preserve">  Equipment uptime (AV)</t>
  </si>
  <si>
    <t xml:space="preserve">&lt; 90%</t>
  </si>
  <si>
    <t xml:space="preserve">AV Tech</t>
  </si>
  <si>
    <t xml:space="preserve">Downtime log</t>
  </si>
  <si>
    <t xml:space="preserve">  Cross-pillar F&amp;B revenue</t>
  </si>
  <si>
    <t xml:space="preserve">&lt; 80% of plan</t>
  </si>
  <si>
    <t xml:space="preserve">F&amp;B + Events</t>
  </si>
  <si>
    <t xml:space="preserve">POS attribution</t>
  </si>
  <si>
    <t xml:space="preserve">&lt; 70% of plan</t>
  </si>
  <si>
    <t xml:space="preserve">Sales + Marketing</t>
  </si>
  <si>
    <t xml:space="preserve">Drives Sponsorship narrative</t>
  </si>
  <si>
    <t xml:space="preserve">  EVA (idle day) revenue</t>
  </si>
  <si>
    <t xml:space="preserve">&lt; $30K</t>
  </si>
  <si>
    <t xml:space="preserve">⚠ Aspirational</t>
  </si>
  <si>
    <t xml:space="preserve">  Monthly revenue</t>
  </si>
  <si>
    <t xml:space="preserve">&lt; 80% plan</t>
  </si>
  <si>
    <t xml:space="preserve">  Monthly direct costs</t>
  </si>
  <si>
    <t xml:space="preserve">&gt; 110% plan</t>
  </si>
  <si>
    <t xml:space="preserve">Costs sheet</t>
  </si>
  <si>
    <t xml:space="preserve">  Monthly gross contribution</t>
  </si>
  <si>
    <t xml:space="preserve">&lt; 70% plan</t>
  </si>
  <si>
    <t xml:space="preserve">GC tab</t>
  </si>
  <si>
    <t xml:space="preserve">&lt; 55%</t>
  </si>
  <si>
    <t xml:space="preserve">GC ÷ Revenue</t>
  </si>
  <si>
    <t xml:space="preserve">&lt; $4K</t>
  </si>
  <si>
    <t xml:space="preserve">Rev ÷ Events</t>
  </si>
  <si>
    <t xml:space="preserve">  Avg cost per event</t>
  </si>
  <si>
    <t xml:space="preserve">&gt; $2.5K</t>
  </si>
  <si>
    <t xml:space="preserve">Cost ÷ Events</t>
  </si>
  <si>
    <t xml:space="preserve">  Avg margin per event</t>
  </si>
  <si>
    <t xml:space="preserve">&lt; $3K</t>
  </si>
  <si>
    <t xml:space="preserve">Net per event</t>
  </si>
  <si>
    <t xml:space="preserve">&gt; 35%</t>
  </si>
  <si>
    <t xml:space="preserve">Var ÷ Revenue</t>
  </si>
  <si>
    <t xml:space="preserve">  Fixed cost coverage</t>
  </si>
  <si>
    <t xml:space="preserve">&lt; 5x</t>
  </si>
  <si>
    <t xml:space="preserve">GC ÷ Fixed</t>
  </si>
  <si>
    <t xml:space="preserve">  Y4 EBITDA (Events pillar)</t>
  </si>
  <si>
    <t xml:space="preserve">Master Cost row 8</t>
  </si>
  <si>
    <t xml:space="preserve">  Revenue YoY growth %</t>
  </si>
  <si>
    <t xml:space="preserve">&lt; 0%</t>
  </si>
  <si>
    <t xml:space="preserve">8-Year YoY</t>
  </si>
  <si>
    <t xml:space="preserve">ℹ  KEY  TO  RED  THRESHOLDS</t>
  </si>
  <si>
    <t xml:space="preserve">RED THRESHOLDS = ALARM levels. Capacity utilization &lt; 50% → demand crisis; EXCEEDS capacity → must turn away or expand FTE; lead time &lt; 30 days → pipeline at risk. ⚠ COMPETITIVE WATCH: 16 public gaming centres opening Casa (Esports event competition); wedding seasonality (May-Oct peak) — Q1/Q4 dips expected.</t>
  </si>
  <si>
    <t xml:space="preserve">  Compare scenarios side-by-side · Probability-weighted total</t>
  </si>
  <si>
    <t xml:space="preserve">◆  SCENARIO  COMPARISON</t>
  </si>
  <si>
    <t xml:space="preserve">  Event revenue (Corp+Priv+Esp)</t>
  </si>
  <si>
    <t xml:space="preserve">  EVA revenue (idle monetization)</t>
  </si>
  <si>
    <t xml:space="preserve">  EXPECTED REVENUE (probability-weighted)</t>
  </si>
  <si>
    <t xml:space="preserve">  Sensitivity Analysis · First Principles</t>
  </si>
  <si>
    <t xml:space="preserve">  Recompute revenue with each driver shifted ±10%/±20% · No coefficient approximations</t>
  </si>
  <si>
    <t xml:space="preserve">◆  ONE-WAY  SENSITIVITY  (each row varies ONE driver, others at Base)</t>
  </si>
  <si>
    <t xml:space="preserve">  Avg ticket prices</t>
  </si>
  <si>
    <t xml:space="preserve">  EVA $ per day</t>
  </si>
  <si>
    <t xml:space="preserve">  Corporate events only</t>
  </si>
  <si>
    <t xml:space="preserve">Each cell uses the ACTUAL revenue formula (events × tickets + EVA fallback) with ONE driver shifted ±10%/±20%, others held at Base. No multipliers or approximations — exact first-principles math.
FOR FULL SCENARIO RECALC: Set master toggle (0·SUMMARY!H7) to BEAR/BULL and read 2·Revenue!E18.</t>
  </si>
  <si>
    <t xml:space="preserve">  Industry Benchmarks · Events Hall</t>
  </si>
  <si>
    <t xml:space="preserve">  Casablanca · MENA · Global · Live-sourced Apr 2026</t>
  </si>
  <si>
    <t xml:space="preserve">GCC / Global</t>
  </si>
  <si>
    <t xml:space="preserve">150-300</t>
  </si>
  <si>
    <t xml:space="preserve">300-600</t>
  </si>
  <si>
    <t xml:space="preserve">Mid-range Casa</t>
  </si>
  <si>
    <t xml:space="preserve">MGE/E-Blue + hotels host 200-400 events/yr</t>
  </si>
  <si>
    <t xml:space="preserve">360</t>
  </si>
  <si>
    <t xml:space="preserve">320-365</t>
  </si>
  <si>
    <t xml:space="preserve">Year-round</t>
  </si>
  <si>
    <t xml:space="preserve">Wedding season May-Oct; corp Sep-Jun</t>
  </si>
  <si>
    <t xml:space="preserve">  Avg events / week</t>
  </si>
  <si>
    <t xml:space="preserve">4-8/wk</t>
  </si>
  <si>
    <t xml:space="preserve">6-12/wk</t>
  </si>
  <si>
    <t xml:space="preserve">Mid-Casa</t>
  </si>
  <si>
    <t xml:space="preserve">Mature event venue cadence</t>
  </si>
  <si>
    <t xml:space="preserve">  Max events / week (capacity)</t>
  </si>
  <si>
    <t xml:space="preserve">6-10/wk</t>
  </si>
  <si>
    <t xml:space="preserve">8-15/wk</t>
  </si>
  <si>
    <t xml:space="preserve">Operational ceiling — staff + turnaround</t>
  </si>
  <si>
    <t xml:space="preserve">60-85%</t>
  </si>
  <si>
    <t xml:space="preserve">70-90%</t>
  </si>
  <si>
    <t xml:space="preserve">Healthy mid-range</t>
  </si>
  <si>
    <t xml:space="preserve">Active events / monthly ceiling</t>
  </si>
  <si>
    <t xml:space="preserve">60-150</t>
  </si>
  <si>
    <t xml:space="preserve">80-250</t>
  </si>
  <si>
    <t xml:space="preserve">Casa standard</t>
  </si>
  <si>
    <t xml:space="preserve">Drives F&amp;B + Sponsorship</t>
  </si>
  <si>
    <t xml:space="preserve">  Lead time (days, avg)</t>
  </si>
  <si>
    <t xml:space="preserve">60-180</t>
  </si>
  <si>
    <t xml:space="preserve">90-365</t>
  </si>
  <si>
    <t xml:space="preserve">90 days corp · 6mo private</t>
  </si>
  <si>
    <t xml:space="preserve">20-40%</t>
  </si>
  <si>
    <t xml:space="preserve">30-55%</t>
  </si>
  <si>
    <t xml:space="preserve">Corp recurring; private one-time</t>
  </si>
  <si>
    <t xml:space="preserve">50-70%</t>
  </si>
  <si>
    <t xml:space="preserve">60-80%</t>
  </si>
  <si>
    <t xml:space="preserve">Mid-Casa benchmark</t>
  </si>
  <si>
    <t xml:space="preserve">Industry venue rentals 60-75%</t>
  </si>
  <si>
    <t xml:space="preserve">TBD</t>
  </si>
  <si>
    <t xml:space="preserve">$1K-$2K</t>
  </si>
  <si>
    <t xml:space="preserve">Premium venue</t>
  </si>
  <si>
    <t xml:space="preserve">~2,200 sqm Events Hall portion</t>
  </si>
  <si>
    <t xml:space="preserve">◆  PRICING  BENCHMARKS  —  Casa Comparables (Apr 2026)</t>
  </si>
  <si>
    <t xml:space="preserve">Activity</t>
  </si>
  <si>
    <t xml:space="preserve">Casa Comp</t>
  </si>
  <si>
    <t xml:space="preserve">  Corporate event price (full-day)</t>
  </si>
  <si>
    <t xml:space="preserve">$5K-15K</t>
  </si>
  <si>
    <t xml:space="preserve">$10K-30K</t>
  </si>
  <si>
    <t xml:space="preserve">Half-day $3-8K; full-day w/ AV $5-15K</t>
  </si>
  <si>
    <t xml:space="preserve">  Private event price (wedding venue)</t>
  </si>
  <si>
    <t xml:space="preserve">$3K-15K (venue)</t>
  </si>
  <si>
    <t xml:space="preserve">$5K-25K</t>
  </si>
  <si>
    <t xml:space="preserve">Casa wedding all-in $10-50K; venue ≈25-35%</t>
  </si>
  <si>
    <t xml:space="preserve">  Esports event price</t>
  </si>
  <si>
    <t xml:space="preserve">$3K-10K</t>
  </si>
  <si>
    <t xml:space="preserve">$8K-25K</t>
  </si>
  <si>
    <t xml:space="preserve">Casa amateur</t>
  </si>
  <si>
    <t xml:space="preserve">Tournament w/ sponsor slot</t>
  </si>
  <si>
    <t xml:space="preserve">  Avg ticket (blended)</t>
  </si>
  <si>
    <t xml:space="preserve">Mid-range</t>
  </si>
  <si>
    <t xml:space="preserve">Total rev ÷ total events</t>
  </si>
  <si>
    <t xml:space="preserve">  Cost per event (all-in)</t>
  </si>
  <si>
    <t xml:space="preserve">$1K-2K</t>
  </si>
  <si>
    <t xml:space="preserve">$1K-3K</t>
  </si>
  <si>
    <t xml:space="preserve">Lean ops</t>
  </si>
  <si>
    <t xml:space="preserve">Fixed allocated + variable</t>
  </si>
  <si>
    <t xml:space="preserve">  Variable cost per event</t>
  </si>
  <si>
    <t xml:space="preserve">$800-1.5K</t>
  </si>
  <si>
    <t xml:space="preserve">$1K-2.5K</t>
  </si>
  <si>
    <t xml:space="preserve">Casa-priced</t>
  </si>
  <si>
    <t xml:space="preserve">$1,290 corp / $1,240 priv / $1,390 esp</t>
  </si>
  <si>
    <t xml:space="preserve">  EVA revenue per idle day</t>
  </si>
  <si>
    <t xml:space="preserve">$300-1,500</t>
  </si>
  <si>
    <t xml:space="preserve">$500-3,000</t>
  </si>
  <si>
    <t xml:space="preserve">Active sales motion required</t>
  </si>
  <si>
    <t xml:space="preserve">  F&amp;B spend per attendee</t>
  </si>
  <si>
    <t xml:space="preserve">$10-30</t>
  </si>
  <si>
    <t xml:space="preserve">Books in F&amp;B pillar</t>
  </si>
  <si>
    <t xml:space="preserve">  Wedding total spend (Casa)</t>
  </si>
  <si>
    <t xml:space="preserve">$10K-50K</t>
  </si>
  <si>
    <t xml:space="preserve">$15K-100K (Marrakech premium)</t>
  </si>
  <si>
    <t xml:space="preserve">Movocco + LukasPiatek 2025</t>
  </si>
  <si>
    <t xml:space="preserve">◆  COST  STRUCTURE  BENCHMARKS</t>
  </si>
  <si>
    <t xml:space="preserve">  Event manager (annual)</t>
  </si>
  <si>
    <t xml:space="preserve">$20K-40K</t>
  </si>
  <si>
    <t xml:space="preserve">Casa senior FTE</t>
  </si>
  <si>
    <t xml:space="preserve">  Operations coord (annual)</t>
  </si>
  <si>
    <t xml:space="preserve">$15K-25K</t>
  </si>
  <si>
    <t xml:space="preserve">Casa entry-mid</t>
  </si>
  <si>
    <t xml:space="preserve">  Event planner (NEW)</t>
  </si>
  <si>
    <t xml:space="preserve">$18K-30K</t>
  </si>
  <si>
    <t xml:space="preserve">NEW Apr 2026</t>
  </si>
  <si>
    <t xml:space="preserve">  AV technician 0.5 FTE (NEW)</t>
  </si>
  <si>
    <t xml:space="preserve">$10K-20K</t>
  </si>
  <si>
    <t xml:space="preserve">NEW Apr 2026 — shared w/ Esports</t>
  </si>
  <si>
    <t xml:space="preserve">$25K-50K</t>
  </si>
  <si>
    <t xml:space="preserve">Largest pillar of 6,300 sqm</t>
  </si>
  <si>
    <t xml:space="preserve">  Var cost/event (corp)</t>
  </si>
  <si>
    <t xml:space="preserve">Baseline + corp AV extras</t>
  </si>
  <si>
    <t xml:space="preserve">  Var cost/event (private)</t>
  </si>
  <si>
    <t xml:space="preserve">Baseline + decor extras</t>
  </si>
  <si>
    <t xml:space="preserve">  Var cost/event (esports)</t>
  </si>
  <si>
    <t xml:space="preserve">Baseline + streaming extras</t>
  </si>
  <si>
    <t xml:space="preserve">  Fixed cost ratio</t>
  </si>
  <si>
    <t xml:space="preserve">Events venues high fixed-cost</t>
  </si>
  <si>
    <t xml:space="preserve">  Rev mix — Corporate %</t>
  </si>
  <si>
    <t xml:space="preserve">40-60%</t>
  </si>
  <si>
    <t xml:space="preserve">Industry: corp is anchor</t>
  </si>
  <si>
    <t xml:space="preserve">  Rev mix — Private %</t>
  </si>
  <si>
    <t xml:space="preserve">Wedding is volume</t>
  </si>
  <si>
    <t xml:space="preserve">  Rev mix — Esports %</t>
  </si>
  <si>
    <t xml:space="preserve">5-15%</t>
  </si>
  <si>
    <t xml:space="preserve">Tournament IP</t>
  </si>
  <si>
    <t xml:space="preserve">  Rev mix — EVA %</t>
  </si>
  <si>
    <t xml:space="preserve">&lt;5%</t>
  </si>
  <si>
    <t xml:space="preserve">Idle-day fallback</t>
  </si>
  <si>
    <t xml:space="preserve">◆  CASA  EVENT  VENUE  COMPARABLES</t>
  </si>
  <si>
    <t xml:space="preserve">Venue</t>
  </si>
  <si>
    <t xml:space="preserve">Capacity</t>
  </si>
  <si>
    <t xml:space="preserve">Pricing</t>
  </si>
  <si>
    <t xml:space="preserve">  Sofitel Casablanca Tour Blanche</t>
  </si>
  <si>
    <t xml:space="preserve">Hotel</t>
  </si>
  <si>
    <t xml:space="preserve">500+</t>
  </si>
  <si>
    <t xml:space="preserve">Premium MAD</t>
  </si>
  <si>
    <t xml:space="preserve">Luxury</t>
  </si>
  <si>
    <t xml:space="preserve">Famous Casa wedding suite</t>
  </si>
  <si>
    <t xml:space="preserve">  Hyatt Regency Casablanca</t>
  </si>
  <si>
    <t xml:space="preserve">300+</t>
  </si>
  <si>
    <t xml:space="preserve">Mid-luxury</t>
  </si>
  <si>
    <t xml:space="preserve">Premium</t>
  </si>
  <si>
    <t xml:space="preserve">Corp + weddings</t>
  </si>
  <si>
    <t xml:space="preserve">  Riad halls (Casa medina)</t>
  </si>
  <si>
    <t xml:space="preserve">Boutique</t>
  </si>
  <si>
    <t xml:space="preserve">50-150</t>
  </si>
  <si>
    <t xml:space="preserve">MAD low-mid</t>
  </si>
  <si>
    <t xml:space="preserve">Intimate Casa weddings</t>
  </si>
  <si>
    <t xml:space="preserve">  Mosaic Hall (Casablanca)</t>
  </si>
  <si>
    <t xml:space="preserve">Standalone</t>
  </si>
  <si>
    <t xml:space="preserve">200+</t>
  </si>
  <si>
    <t xml:space="preserve">MAD mid</t>
  </si>
  <si>
    <t xml:space="preserve">Wedding-focused venue</t>
  </si>
  <si>
    <t xml:space="preserve">  Mandarin Oriental Marrakech</t>
  </si>
  <si>
    <t xml:space="preserve">Pricing on request</t>
  </si>
  <si>
    <t xml:space="preserve">Ultra-luxury</t>
  </si>
  <si>
    <t xml:space="preserve">Marrakech ceiling benchmark</t>
  </si>
  <si>
    <t xml:space="preserve">  Independent halls / caterers</t>
  </si>
  <si>
    <t xml:space="preserve">$3K-15K venue</t>
  </si>
  <si>
    <t xml:space="preserve">Casa event ecosystem</t>
  </si>
  <si>
    <t xml:space="preserve">  Pixoul Events Hall (us)</t>
  </si>
  <si>
    <t xml:space="preserve">Multi-purpose</t>
  </si>
  <si>
    <t xml:space="preserve">80-120</t>
  </si>
  <si>
    <t xml:space="preserve">$4.5K-8K avg</t>
  </si>
  <si>
    <t xml:space="preserve">Mid-premium</t>
  </si>
  <si>
    <t xml:space="preserve">BLENDED corp+priv+esp+EVA</t>
  </si>
  <si>
    <t xml:space="preserve">ℹ  SOURCES  KEY  &amp;  METHODOLOGY</t>
  </si>
  <si>
    <t xml:space="preserve">Web-sourced (Apr 2026):</t>
  </si>
  <si>
    <t xml:space="preserve">  • Movocco — Casa wedding cost data ($10K-50K all-in)</t>
  </si>
  <si>
    <t xml:space="preserve">  • LukasPiatek — Morocco Wedding Guide ($20K-50K typical)</t>
  </si>
  <si>
    <t xml:space="preserve">  • CrimsonLetters — Casa luxury venue ecosystem</t>
  </si>
  <si>
    <t xml:space="preserve">  • PartyMarocMarrakech — Marrakech planner industry data</t>
  </si>
  <si>
    <t xml:space="preserve">  • Mandarin Oriental Marrakech — luxury benchmark</t>
  </si>
  <si>
    <t xml:space="preserve">Industry / global:</t>
  </si>
  <si>
    <t xml:space="preserve">  • Event venue rental margins typically 60-75% (industry)</t>
  </si>
  <si>
    <t xml:space="preserve">  • Wedding venue ≈ 25-35% of total wedding budget</t>
  </si>
  <si>
    <t xml:space="preserve">Internal:</t>
  </si>
  <si>
    <t xml:space="preserve">  • Pixoul UAE Events comparable</t>
  </si>
  <si>
    <t xml:space="preserve">  • Live-link: 02_E_1_Drivers + 02_E_3_Costs (rebuilt Apr 2026)</t>
  </si>
  <si>
    <t xml:space="preserve">Methodology: Casa wedding/event venue data sourced from Casa/Marrakech wedding industry guides Apr 2026. Pixoul figures live-linked to 02_E_1_Drivers and 02_E_3_Costs (rebuilt to address 86% margin). Margin moved 86.3% → 72.2% (within 60-80% defensible range).</t>
  </si>
  <si>
    <t xml:space="preserve">  Master Integration · Events Hall</t>
  </si>
  <si>
    <t xml:space="preserve">  Cross-references · auditor traceability</t>
  </si>
  <si>
    <t xml:space="preserve">◆  KEY  EXPORT  CELLS  (where this pillar feeds Master)</t>
  </si>
  <si>
    <t xml:space="preserve">  '2·Master Revenue'!C8</t>
  </si>
  <si>
    <t xml:space="preserve">  '02_E_14_Scenarios'!C10</t>
  </si>
  <si>
    <t xml:space="preserve">  Y4 Bear revenue (LIVE-LINK)</t>
  </si>
  <si>
    <t xml:space="preserve">  '2·Master Revenue'!D8</t>
  </si>
  <si>
    <t xml:space="preserve">  '02_E_14_Scenarios'!D10</t>
  </si>
  <si>
    <t xml:space="preserve">  Y4 Base revenue (LIVE-LINK)</t>
  </si>
  <si>
    <t xml:space="preserve">  '2·Master Revenue'!E8</t>
  </si>
  <si>
    <t xml:space="preserve">  '02_E_14_Scenarios'!E10</t>
  </si>
  <si>
    <t xml:space="preserve">  Y4 Bull revenue (LIVE-LINK)</t>
  </si>
  <si>
    <t xml:space="preserve">  '3·Master Cost'!C8</t>
  </si>
  <si>
    <t xml:space="preserve">  ='2·Master Revenue'!D8*$D8</t>
  </si>
  <si>
    <t xml:space="preserve">  Y4 cost = Base × ratio (DERIVED)</t>
  </si>
  <si>
    <t xml:space="preserve">  '3·Master Cost'!I8</t>
  </si>
  <si>
    <t xml:space="preserve">  ='2·Master Revenue'!H8-'3·Master Cost'!H8</t>
  </si>
  <si>
    <t xml:space="preserve">  Y3 EBITDA (DERIVED)</t>
  </si>
  <si>
    <t xml:space="preserve">  '4·Cross-Pillar Logic'!*</t>
  </si>
  <si>
    <t xml:space="preserve">  various (info-only)</t>
  </si>
  <si>
    <t xml:space="preserve">  Synergies (NOT booked twice)</t>
  </si>
  <si>
    <t xml:space="preserve">  '5·Traffic Engine'!*</t>
  </si>
  <si>
    <t xml:space="preserve">  Visitor counts (informational)</t>
  </si>
  <si>
    <t xml:space="preserve">  EVENTS HALL → CROSS-PILLAR FLOWS:
  •  Events → F&amp;B catering: ~$180K/yr Y4 Base. BOOKED at F&amp;B (Pillar 07), not here.
  •  Events → Sponsorships: drives audience size for sponsor pricing power.
  •  Events → Brand awareness: high-profile events seed ecosystem marketing.
  CRITICAL: Catering is INFO-ONLY here. Booked at F&amp;B Pillar 07 to avoid double-counting.</t>
  </si>
  <si>
    <t xml:space="preserve">  Academy · SUMMARY Dashboard</t>
  </si>
  <si>
    <t xml:space="preserve">  Core Programs</t>
  </si>
  <si>
    <t xml:space="preserve">  Lab Programs</t>
  </si>
  <si>
    <t xml:space="preserve">  Corporate Training (B2B)</t>
  </si>
  <si>
    <t xml:space="preserve">  Coworking Membership</t>
  </si>
  <si>
    <t xml:space="preserve">  Private Pod Bookings</t>
  </si>
  <si>
    <t xml:space="preserve">  Coffee/cafe (in-pillar)</t>
  </si>
  <si>
    <t xml:space="preserve">  Incubation Program</t>
  </si>
  <si>
    <t xml:space="preserve">Academy % of Total</t>
  </si>
  <si>
    <t xml:space="preserve">Education flagship with 7 revenue streams: recurring tuition + B2B corporate training + coworking. Multi-stream resilience reduces single-point-of-failure risk.</t>
  </si>
  <si>
    <t xml:space="preserve">  Drivers · Scenario Engine · Capacity &amp; Demand Engines</t>
  </si>
  <si>
    <t xml:space="preserve">  Edit BASE column to change defaults · Capacity capped, Demand from Gaming Hall TAM</t>
  </si>
  <si>
    <t xml:space="preserve">  Capacity utilization %</t>
  </si>
  <si>
    <t xml:space="preserve">⚠ Base 65% aggressive — assume Y3 mature</t>
  </si>
  <si>
    <t xml:space="preserve">  Conversion % (Gaming → Academy)</t>
  </si>
  <si>
    <t xml:space="preserve">From Gaming Hall TAM</t>
  </si>
  <si>
    <t xml:space="preserve">  Retention (months)</t>
  </si>
  <si>
    <t xml:space="preserve">Avg subscription length</t>
  </si>
  <si>
    <t xml:space="preserve">  Monthly fee — BASE tier (70% of students)</t>
  </si>
  <si>
    <t xml:space="preserve">Per student per month</t>
  </si>
  <si>
    <t xml:space="preserve">  Lab fee ($, one-time)</t>
  </si>
  <si>
    <t xml:space="preserve">Per lab program enrollment</t>
  </si>
  <si>
    <t xml:space="preserve">  Sessions per day</t>
  </si>
  <si>
    <t xml:space="preserve">Rotations of classes</t>
  </si>
  <si>
    <t xml:space="preserve">School-year cadence</t>
  </si>
  <si>
    <t xml:space="preserve">  Corporate sessions / month</t>
  </si>
  <si>
    <t xml:space="preserve">B2B training contracts</t>
  </si>
  <si>
    <t xml:space="preserve">  Corporate fee ($)</t>
  </si>
  <si>
    <t xml:space="preserve">Per corporate session</t>
  </si>
  <si>
    <t xml:space="preserve">  Coworking seats (active)</t>
  </si>
  <si>
    <t xml:space="preserve">Shared workspace seats</t>
  </si>
  <si>
    <t xml:space="preserve">  Coworking fee ($/mo)</t>
  </si>
  <si>
    <t xml:space="preserve">Monthly coworking subscription</t>
  </si>
  <si>
    <t xml:space="preserve">  Coworking utilization %</t>
  </si>
  <si>
    <t xml:space="preserve">% of seats actually rented</t>
  </si>
  <si>
    <t xml:space="preserve">  Pod bookings / month</t>
  </si>
  <si>
    <t xml:space="preserve">Private pod hourly bookings</t>
  </si>
  <si>
    <t xml:space="preserve">  Pod price ($/hour)</t>
  </si>
  <si>
    <t xml:space="preserve">Casa premium pod pricing</t>
  </si>
  <si>
    <t xml:space="preserve">  Active utilization %</t>
  </si>
  <si>
    <t xml:space="preserve">→ Capacity engine multiplier</t>
  </si>
  <si>
    <t xml:space="preserve">  Active conversion % (G→A)</t>
  </si>
  <si>
    <t xml:space="preserve">→ Demand from Gaming Hall</t>
  </si>
  <si>
    <t xml:space="preserve">  Active retention (months)</t>
  </si>
  <si>
    <t xml:space="preserve">→ LTV calculation</t>
  </si>
  <si>
    <t xml:space="preserve">  Active monthly fee</t>
  </si>
  <si>
    <t xml:space="preserve">→ Recurring revenue</t>
  </si>
  <si>
    <t xml:space="preserve">  Active lab fee</t>
  </si>
  <si>
    <t xml:space="preserve">→ Lab revenue</t>
  </si>
  <si>
    <t xml:space="preserve">  Active sessions/day</t>
  </si>
  <si>
    <t xml:space="preserve">→ Capacity engine</t>
  </si>
  <si>
    <t xml:space="preserve">  Active days/month</t>
  </si>
  <si>
    <t xml:space="preserve">  Active corporate sessions/mo</t>
  </si>
  <si>
    <t xml:space="preserve">→ Corporate revenue</t>
  </si>
  <si>
    <t xml:space="preserve">  Active corporate fee</t>
  </si>
  <si>
    <t xml:space="preserve">  Active coworking seats</t>
  </si>
  <si>
    <t xml:space="preserve">→ Coworking revenue</t>
  </si>
  <si>
    <t xml:space="preserve">  Active coworking fee/mo</t>
  </si>
  <si>
    <t xml:space="preserve">  Active coworking util %</t>
  </si>
  <si>
    <t xml:space="preserve">  Active pod bookings/mo</t>
  </si>
  <si>
    <t xml:space="preserve">→ Pod revenue</t>
  </si>
  <si>
    <t xml:space="preserve">  Active pod price</t>
  </si>
  <si>
    <t xml:space="preserve">◆  CAPACITY  ENGINE  (physical limits — what's possible)</t>
  </si>
  <si>
    <t xml:space="preserve">  Large classrooms (90-seat each)</t>
  </si>
  <si>
    <t xml:space="preserve">Auditorium-style teaching</t>
  </si>
  <si>
    <t xml:space="preserve">  Medium classrooms (45-seat each)</t>
  </si>
  <si>
    <t xml:space="preserve">Standard classroom</t>
  </si>
  <si>
    <t xml:space="preserve">  Small classrooms (25-seat each)</t>
  </si>
  <si>
    <t xml:space="preserve">Workshop / specialized</t>
  </si>
  <si>
    <t xml:space="preserve">  Total classroom seats</t>
  </si>
  <si>
    <t xml:space="preserve">Sum: 180 + 135 + 75 = 390 seats</t>
  </si>
  <si>
    <t xml:space="preserve">  ◆ Labs (6 specialized — see breakdown ↓)</t>
  </si>
  <si>
    <t xml:space="preserve">Science · Media · Music · Fabrication · Robotics · Simulation</t>
  </si>
  <si>
    <t xml:space="preserve">    Per-lab breakdown:</t>
  </si>
  <si>
    <t xml:space="preserve">Science</t>
  </si>
  <si>
    <t xml:space="preserve">Media Studio</t>
  </si>
  <si>
    <t xml:space="preserve">Music</t>
  </si>
  <si>
    <t xml:space="preserve">Fabrication</t>
  </si>
  <si>
    <t xml:space="preserve">Robotics</t>
  </si>
  <si>
    <t xml:space="preserve">Simulation</t>
  </si>
  <si>
    <t xml:space="preserve">    Total lab seats (per lab → SUM)</t>
  </si>
  <si>
    <t xml:space="preserve">  Total seats (classroom + lab)</t>
  </si>
  <si>
    <t xml:space="preserve">8 classrooms (390) + 6 specialized labs (92) = 482 academic seats</t>
  </si>
  <si>
    <t xml:space="preserve">  Max student-sessions/month (theoretical)</t>
  </si>
  <si>
    <t xml:space="preserve">Total seats × sessions/day × days/month</t>
  </si>
  <si>
    <t xml:space="preserve">  Realistic capacity (utilization-adjusted)</t>
  </si>
  <si>
    <t xml:space="preserve">Theoretical × active utilization %</t>
  </si>
  <si>
    <t xml:space="preserve">  ◆ Coworking complex (separate from academic capacity)</t>
  </si>
  <si>
    <t xml:space="preserve">30 open desks + 8 private pods + 3 meeting rooms (6/12/20 capacity) = 76 seats</t>
  </si>
  <si>
    <t xml:space="preserve">◆  DEMAND  ENGINE  (from Gaming Hall TAM × conversion %)</t>
  </si>
  <si>
    <t xml:space="preserve">  Gaming Hall annual footfall (TAM)</t>
  </si>
  <si>
    <t xml:space="preserve">→ Should link to Gaming Hall when Master is built</t>
  </si>
  <si>
    <t xml:space="preserve">⚠ Hardcoded for standalone use · LIVE LINK in Master integration</t>
  </si>
  <si>
    <t xml:space="preserve">  Gaming Hall monthly footfall</t>
  </si>
  <si>
    <t xml:space="preserve">Annual ÷ 12</t>
  </si>
  <si>
    <t xml:space="preserve">  Monthly demand (G→A conversion)</t>
  </si>
  <si>
    <t xml:space="preserve">Monthly footfall × conversion %</t>
  </si>
  <si>
    <t xml:space="preserve">  Sessions per student per month</t>
  </si>
  <si>
    <t xml:space="preserve">Avg ~2 sessions/week (typical academy schedule)</t>
  </si>
  <si>
    <t xml:space="preserve">  Total demand in student-sessions/mo</t>
  </si>
  <si>
    <t xml:space="preserve">Monthly student demand × sessions per student</t>
  </si>
  <si>
    <t xml:space="preserve">◆  ACTUAL  STUDENTS  (constrained by capacity AND demand — whichever is smaller)</t>
  </si>
  <si>
    <t xml:space="preserve">  Actual student-sessions / month</t>
  </si>
  <si>
    <t xml:space="preserve">MIN(capacity, demand) — the binding constraint</t>
  </si>
  <si>
    <t xml:space="preserve">  Actual unique students / month</t>
  </si>
  <si>
    <t xml:space="preserve">student-sessions ÷ sessions per student per month</t>
  </si>
  <si>
    <t xml:space="preserve">  Binding constraint:</t>
  </si>
  <si>
    <t xml:space="preserve">Tells you whether to add more rooms (capacity) or marketing (demand)</t>
  </si>
  <si>
    <t xml:space="preserve">    Lead instructor salary (annual, w/ tax)</t>
  </si>
  <si>
    <t xml:space="preserve">1 senior FTE — Casa rate</t>
  </si>
  <si>
    <t xml:space="preserve">    Junior instructors — CORE (4 FTE, fixed)</t>
  </si>
  <si>
    <t xml:space="preserve">4 FTE × $1,800/mo × 12 (was 8 FTE) — variable instructors added below</t>
  </si>
  <si>
    <t xml:space="preserve">    Admin staff (2 FTE × annual)</t>
  </si>
  <si>
    <t xml:space="preserve">2 × $1,500/mo × 12</t>
  </si>
  <si>
    <t xml:space="preserve">→ Centralized: see Master OpEx Group OH ($700K total facility rent / 9 pillars)</t>
  </si>
  <si>
    <t xml:space="preserve">→ Centralized: see Master OpEx Group OH (Utilities $140K total)</t>
  </si>
  <si>
    <t xml:space="preserve">Equipment + facility — small relative to platform EBITDA; kept per Toufic decision v63. Documentation note: Master OpEx also has $20K facility maintenance.</t>
  </si>
  <si>
    <t xml:space="preserve">    Software licenses (annual)</t>
  </si>
  <si>
    <t xml:space="preserve">LMS + course content + tools</t>
  </si>
  <si>
    <t xml:space="preserve">    Marketing baseline (annual)</t>
  </si>
  <si>
    <t xml:space="preserve">→ Centralized: see Master OpEx Central Marketing $300K</t>
  </si>
  <si>
    <t xml:space="preserve">    B2B BD FTE (1.0 FTE — Apr 2026 added to close B2B gap)</t>
  </si>
  <si>
    <t xml:space="preserve">NEW Apr 2026 — closes B2B sales engine gap (was 5/mo funnel vs 11/mo model assumption)</t>
  </si>
  <si>
    <t xml:space="preserve">  VARIABLE costs (per student per month)</t>
  </si>
  <si>
    <t xml:space="preserve">    Materials per student/mo</t>
  </si>
  <si>
    <t xml:space="preserve">Books, printouts, basics</t>
  </si>
  <si>
    <t xml:space="preserve">    Lab consumables per student/mo</t>
  </si>
  <si>
    <t xml:space="preserve">Hardware wear, components</t>
  </si>
  <si>
    <t xml:space="preserve">    Variable instructor cost per student/mo</t>
  </si>
  <si>
    <t xml:space="preserve">Hourly contract instructors scaled with student volume</t>
  </si>
  <si>
    <t xml:space="preserve">  VARIABLE costs (per corporate session)</t>
  </si>
  <si>
    <t xml:space="preserve">    Corporate session cost (per session)</t>
  </si>
  <si>
    <t xml:space="preserve">Setup, materials, premium instructor</t>
  </si>
  <si>
    <t xml:space="preserve">    Variable utilities (per student/mo)</t>
  </si>
  <si>
    <t xml:space="preserve">Power for labs scales with usage</t>
  </si>
  <si>
    <t xml:space="preserve">◆  PREMIUM  TIER  PRICING  (blended fee logic — added per optimization)</t>
  </si>
  <si>
    <t xml:space="preserve">  % students on PREMIUM tier</t>
  </si>
  <si>
    <t xml:space="preserve">30% premium tier (advanced courses, intensive AI/coding)</t>
  </si>
  <si>
    <t xml:space="preserve">  PREMIUM tier monthly fee</t>
  </si>
  <si>
    <t xml:space="preserve">Bear $130 | Base $150 | Bull $180 (premium tier)</t>
  </si>
  <si>
    <t xml:space="preserve">  Active PREMIUM fee</t>
  </si>
  <si>
    <t xml:space="preserve">  BLENDED monthly fee (used by Revenue)</t>
  </si>
  <si>
    <t xml:space="preserve">Blended fee = base × 70% + premium × 30%</t>
  </si>
  <si>
    <t xml:space="preserve">◆  INCUBATION  PROGRAM  (additional Academy stream — startup cohorts)</t>
  </si>
  <si>
    <t xml:space="preserve">  Cohorts per year</t>
  </si>
  <si>
    <t xml:space="preserve">Casa accelerator pace — 2 cohorts/yr at Base</t>
  </si>
  <si>
    <t xml:space="preserve">  Startups per cohort</t>
  </si>
  <si>
    <t xml:space="preserve">Curated cohort size for quality mentorship</t>
  </si>
  <si>
    <t xml:space="preserve">  Cohort fee per startup ($)</t>
  </si>
  <si>
    <t xml:space="preserve">Source: Academy-grad first ventures cannot pay $4K cohort fee · $1K is symbolic</t>
  </si>
  <si>
    <t xml:space="preserve">Casa benchmark accelerator pricing</t>
  </si>
  <si>
    <t xml:space="preserve">  Startup survival rate (Y2+)</t>
  </si>
  <si>
    <t xml:space="preserve">Source: First-time founder Y2+ survival in MENA = 25-35% (CB Insights, Wamda 2023)</t>
  </si>
  <si>
    <t xml:space="preserve">% of startups surviving to year 2+ (industry: 30-50%)</t>
  </si>
  <si>
    <t xml:space="preserve">  Avg surviving startup revenue ($)</t>
  </si>
  <si>
    <t xml:space="preserve">Source: Median Moroccan first-venture revenue Y2 = $20-40K (StartUp Maroc 2024)</t>
  </si>
  <si>
    <t xml:space="preserve">Avg annual revenue at Y2+ for survivors</t>
  </si>
  <si>
    <t xml:space="preserve">  Revenue share % (3yr term)</t>
  </si>
  <si>
    <t xml:space="preserve">Revenue share rate · 3-year term post-graduation</t>
  </si>
  <si>
    <t xml:space="preserve">  Revenue share collection rate %</t>
  </si>
  <si>
    <t xml:space="preserve">Source: Revenue share collection from early-stage MENA startups = 15-30% in practice</t>
  </si>
  <si>
    <t xml:space="preserve">% of expected actually collected (industry haircut)</t>
  </si>
  <si>
    <t xml:space="preserve">  Active cohort years stacking (Y4)</t>
  </si>
  <si>
    <t xml:space="preserve">How many cohort years are paying revenue share at Y4</t>
  </si>
  <si>
    <t xml:space="preserve">◆  INCUBATION  —  ACTIVE  OUTPUTS</t>
  </si>
  <si>
    <t xml:space="preserve">  Active cohorts/yr</t>
  </si>
  <si>
    <t xml:space="preserve">→ Cohort fee revenue</t>
  </si>
  <si>
    <t xml:space="preserve">  Active startups/cohort</t>
  </si>
  <si>
    <t xml:space="preserve">  Active cohort fee/startup</t>
  </si>
  <si>
    <t xml:space="preserve">  Active survival rate</t>
  </si>
  <si>
    <t xml:space="preserve">→ Revenue share</t>
  </si>
  <si>
    <t xml:space="preserve">  Active avg startup revenue</t>
  </si>
  <si>
    <t xml:space="preserve">  Active rev share %</t>
  </si>
  <si>
    <t xml:space="preserve">  Active collection rate</t>
  </si>
  <si>
    <t xml:space="preserve">  Active stacking years</t>
  </si>
  <si>
    <t xml:space="preserve">◆  INCUBATION  —  REVENUE  &amp;  COST  COMPONENTS</t>
  </si>
  <si>
    <t xml:space="preserve">  Cohort fee revenue (annual)</t>
  </si>
  <si>
    <t xml:space="preserve">Cohorts × startups × fee</t>
  </si>
  <si>
    <t xml:space="preserve">  Revenue share — gross expected</t>
  </si>
  <si>
    <t xml:space="preserve">Per-yr cohort grads × survival × rev × share % × stacking yrs</t>
  </si>
  <si>
    <t xml:space="preserve">  Revenue share — net (after collection rate)</t>
  </si>
  <si>
    <t xml:space="preserve">Apply realistic collection haircut</t>
  </si>
  <si>
    <t xml:space="preserve">  TOTAL INCUBATION REVENUE</t>
  </si>
  <si>
    <t xml:space="preserve">Cohort fees + collected revenue share</t>
  </si>
  <si>
    <t xml:space="preserve">  Program manager cost (0.5 FTE)</t>
  </si>
  <si>
    <t xml:space="preserve">0.5 FTE × $30K</t>
  </si>
  <si>
    <t xml:space="preserve">  Mentor stipends (annual)</t>
  </si>
  <si>
    <t xml:space="preserve">6 mentors per cohort × $1K honorarium</t>
  </si>
  <si>
    <t xml:space="preserve">  Workspace allocation (annual)</t>
  </si>
  <si>
    <t xml:space="preserve">Dedicated cohort workspace</t>
  </si>
  <si>
    <t xml:space="preserve">  Demo day + events (annual)</t>
  </si>
  <si>
    <t xml:space="preserve">$4K per demo day event</t>
  </si>
  <si>
    <t xml:space="preserve">  TOTAL INCUBATION COSTS</t>
  </si>
  <si>
    <t xml:space="preserve">All incubation operating costs</t>
  </si>
  <si>
    <t xml:space="preserve">  Legal — revenue share contracts (NEW)</t>
  </si>
  <si>
    <t xml:space="preserve">Revenue share contract drafting + signature for each startup · Zeineb</t>
  </si>
  <si>
    <t xml:space="preserve">Source: Legal counsel Zeineb · revenue-share contract template signed by each startup</t>
  </si>
  <si>
    <t xml:space="preserve">◆  ACADEMY  DEMAND  ENGINE  —  A. LEAD  FUNNEL  (two-track validation)</t>
  </si>
  <si>
    <t xml:space="preserve">  Track 1: Gaming TAM × G→A conversion (current model)</t>
  </si>
  <si>
    <t xml:space="preserve">Gaming Hall annual footfall (TAM)</t>
  </si>
  <si>
    <t xml:space="preserve">From row 52 — drives demand pool</t>
  </si>
  <si>
    <t xml:space="preserve">Active conversion % (G→A)</t>
  </si>
  <si>
    <t xml:space="preserve">From row 24 — students/footfall</t>
  </si>
  <si>
    <t xml:space="preserve">Implied annual NEW students (TAM-driven)</t>
  </si>
  <si>
    <t xml:space="preserve">Calculated from Gaming pull-through</t>
  </si>
  <si>
    <t xml:space="preserve">  Track 2: Independent marketing-driven funnel</t>
  </si>
  <si>
    <t xml:space="preserve">Marketing spend allocation (annual, $)</t>
  </si>
  <si>
    <t xml:space="preserve">From row 73 (already in cost) — for CAC calc</t>
  </si>
  <si>
    <t xml:space="preserve">Cost per qualified lead ($)</t>
  </si>
  <si>
    <t xml:space="preserve">Casa digital marketing: $8-20/qualified lead (Facebook/Insta)</t>
  </si>
  <si>
    <t xml:space="preserve">Leads from marketing (annual)</t>
  </si>
  <si>
    <t xml:space="preserve">Spend / cost-per-lead</t>
  </si>
  <si>
    <t xml:space="preserve">Marketing → enrollment conversion %</t>
  </si>
  <si>
    <t xml:space="preserve">Industry: 5-12% for paid education leads to enrollment</t>
  </si>
  <si>
    <t xml:space="preserve">Implied annual NEW students (marketing-driven)</t>
  </si>
  <si>
    <t xml:space="preserve">Independent of Gaming traffic</t>
  </si>
  <si>
    <t xml:space="preserve">  Combined demand reconciliation</t>
  </si>
  <si>
    <t xml:space="preserve">TOTAL implied NEW students/year (Track 1 + Track 2)</t>
  </si>
  <si>
    <t xml:space="preserve">Cross-pillar + standalone marketing</t>
  </si>
  <si>
    <t xml:space="preserve">Implied NEW students/month</t>
  </si>
  <si>
    <t xml:space="preserve">CURRENT MODEL students/month (active)</t>
  </si>
  <si>
    <t xml:space="preserve">From row 60 — what model assumes</t>
  </si>
  <si>
    <t xml:space="preserve">Variance (funnel can support − model assumes)</t>
  </si>
  <si>
    <t xml:space="preserve">Positive = funnel slack; Negative = pipeline gap</t>
  </si>
  <si>
    <t xml:space="preserve">  Demand status</t>
  </si>
  <si>
    <t xml:space="preserve">Implied CAC (marketing $ ÷ marketing-driven students)</t>
  </si>
  <si>
    <t xml:space="preserve">Customer Acquisition Cost from marketing track</t>
  </si>
  <si>
    <t xml:space="preserve">LTV (Active monthly fee × retention months)</t>
  </si>
  <si>
    <t xml:space="preserve">Lifetime Value per student</t>
  </si>
  <si>
    <t xml:space="preserve">◆  ACADEMY  —  B. B2B  CORPORATE  TRAINING  SALES  ENGINE  (45% of revenue)</t>
  </si>
  <si>
    <t xml:space="preserve">  B2B Sales Pipeline</t>
  </si>
  <si>
    <t xml:space="preserve">B2B BD FTE allocation</t>
  </si>
  <si>
    <t xml:space="preserve">0.5 FTE shared with Lead Instructor (he sells too)</t>
  </si>
  <si>
    <t xml:space="preserve">Outbound + inbound corporate leads / month</t>
  </si>
  <si>
    <t xml:space="preserve">Casa B2B norm: 8-20 corporate leads/mo for L&amp;D services</t>
  </si>
  <si>
    <t xml:space="preserve">Lead → discovery call conversion %</t>
  </si>
  <si>
    <t xml:space="preserve">Casa B2B: 40-60% of inbound qualifies</t>
  </si>
  <si>
    <t xml:space="preserve">Discovery → proposal conversion %</t>
  </si>
  <si>
    <t xml:space="preserve">Industry: 30-50% pass discovery to proposal</t>
  </si>
  <si>
    <t xml:space="preserve">Proposal → close conversion %</t>
  </si>
  <si>
    <t xml:space="preserve">Industry: 25-45% of proposals close</t>
  </si>
  <si>
    <t xml:space="preserve">Closed deals per month</t>
  </si>
  <si>
    <t xml:space="preserve">Funnel math: leads → discovery → proposal → close</t>
  </si>
  <si>
    <t xml:space="preserve">Closed deals per year</t>
  </si>
  <si>
    <t xml:space="preserve">Annual deal volume</t>
  </si>
  <si>
    <t xml:space="preserve">  Deal Economics</t>
  </si>
  <si>
    <t xml:space="preserve">Avg sessions per deal (workshop series)</t>
  </si>
  <si>
    <t xml:space="preserve">4-12 sessions typical for corporate training engagement</t>
  </si>
  <si>
    <t xml:space="preserve">Total sessions delivered per year (from deals)</t>
  </si>
  <si>
    <t xml:space="preserve">Closed deals × sessions/deal</t>
  </si>
  <si>
    <t xml:space="preserve">Active corporate sessions/mo (from B2B engine)</t>
  </si>
  <si>
    <t xml:space="preserve">Sessions delivered monthly</t>
  </si>
  <si>
    <t xml:space="preserve">CURRENT MODEL active corp sessions/mo (row 30)</t>
  </si>
  <si>
    <t xml:space="preserve">What revenue model uses today</t>
  </si>
  <si>
    <t xml:space="preserve">Variance (B2B engine − current model)</t>
  </si>
  <si>
    <t xml:space="preserve">Positive = B2B can deliver more</t>
  </si>
  <si>
    <t xml:space="preserve">Avg sales cycle (days)</t>
  </si>
  <si>
    <t xml:space="preserve">B2B education: 60-120 days from first contact to signed contract</t>
  </si>
  <si>
    <t xml:space="preserve">Account retention (years before churn)</t>
  </si>
  <si>
    <t xml:space="preserve">Avg corporate client renews ~2-3 yr before switching providers</t>
  </si>
  <si>
    <t xml:space="preserve">B2B account LTV (Sessions/yr × fee × retention yrs)</t>
  </si>
  <si>
    <t xml:space="preserve">Lifetime Value per corporate account</t>
  </si>
  <si>
    <t xml:space="preserve">  B2B engine status</t>
  </si>
  <si>
    <t xml:space="preserve">Leads handled per BD FTE/month (capacity)</t>
  </si>
  <si>
    <t xml:space="preserve">Casa B2B: 25-40 quality leads/mo per FTE</t>
  </si>
  <si>
    <t xml:space="preserve">◆  ACADEMY  —  C. SEASONALITY  (Morocco school + Ramadan calendar)</t>
  </si>
  <si>
    <t xml:space="preserve">Avg (=1.00)</t>
  </si>
  <si>
    <t xml:space="preserve">  Core Programs (school year peak, summer dip)</t>
  </si>
  <si>
    <t xml:space="preserve">  Lab Programs (summer peak — kids tech camps)</t>
  </si>
  <si>
    <t xml:space="preserve">  Corporate Training (B2B calendar, Ramadan dip)</t>
  </si>
  <si>
    <t xml:space="preserve">  Coworking (relatively flat — slight summer dip)</t>
  </si>
  <si>
    <t xml:space="preserve">  Implied monthly student-sessions (Active × seasonality)</t>
  </si>
  <si>
    <t xml:space="preserve">    Total sessions (× core season factor)</t>
  </si>
  <si>
    <t xml:space="preserve">    Realistic capacity ceiling (row 49)</t>
  </si>
  <si>
    <t xml:space="preserve">  ⚠ Validation: each row Avg should = 1.00</t>
  </si>
  <si>
    <t xml:space="preserve">◆  ACADEMY  —  D. CHURN  &amp;  RETENTION  (each stream has different churn dynamics)</t>
  </si>
  <si>
    <t xml:space="preserve">Avg Retention</t>
  </si>
  <si>
    <t xml:space="preserve">Monthly Churn</t>
  </si>
  <si>
    <t xml:space="preserve">Annual Churn</t>
  </si>
  <si>
    <t xml:space="preserve">LTV</t>
  </si>
  <si>
    <t xml:space="preserve">  Core Programs (students)</t>
  </si>
  <si>
    <t xml:space="preserve">6 months avg = ~16.7% monthly churn</t>
  </si>
  <si>
    <t xml:space="preserve">  Coworking (members)</t>
  </si>
  <si>
    <t xml:space="preserve">8 months avg = ~12.5% monthly churn</t>
  </si>
  <si>
    <t xml:space="preserve">    Coworking avg membership length (months)</t>
  </si>
  <si>
    <t xml:space="preserve">Industry coworking: 6-12 months typical</t>
  </si>
  <si>
    <t xml:space="preserve">  Corporate B2B (accounts)</t>
  </si>
  <si>
    <t xml:space="preserve">2.5 years avg = ~40% annual churn</t>
  </si>
  <si>
    <t xml:space="preserve">◆  ACADEMY  —  LTV  /  CAC  RATIO  (unit economics health)</t>
  </si>
  <si>
    <t xml:space="preserve">Core program student LTV</t>
  </si>
  <si>
    <t xml:space="preserve">From row 190</t>
  </si>
  <si>
    <t xml:space="preserve">Core program CAC (from marketing track)</t>
  </si>
  <si>
    <t xml:space="preserve">From row 144</t>
  </si>
  <si>
    <t xml:space="preserve">LTV / CAC ratio (Core)</t>
  </si>
  <si>
    <t xml:space="preserve">Healthy: &gt;3x; Excellent: &gt;5x; Critical: &lt;1x</t>
  </si>
  <si>
    <t xml:space="preserve">  LTV/CAC status (Core Programs)</t>
  </si>
  <si>
    <t xml:space="preserve">B2B account LTV</t>
  </si>
  <si>
    <t xml:space="preserve">From B2B engine</t>
  </si>
  <si>
    <t xml:space="preserve">B2B CAC (BD FTE cost / annual deals)</t>
  </si>
  <si>
    <t xml:space="preserve">$22K BD × 0.5 FTE / annual closed deals</t>
  </si>
  <si>
    <t xml:space="preserve">B2B LTV / CAC ratio</t>
  </si>
  <si>
    <t xml:space="preserve">Healthy: &gt;3x for B2B</t>
  </si>
  <si>
    <t xml:space="preserve">INTERPRETATION: Section A validates demand can support model (TAM + marketing tracks combined). Section B turns Corporate Training (45% of revenue) from "we will do 11 sessions/mo" into a real BD pipeline. Section C exposes seasonality risk — Core dips ~50% in summer, Lab Programs spike to compensate. Section D quantifies churn explicitly: Core 16.7%/mo, Coworking 12.5%/mo, B2B 40%/yr. LTV/CAC ratio is the single best unit economics health check — if Core LTV/CAC &lt; 3x, sustainability is at risk.</t>
  </si>
  <si>
    <t xml:space="preserve">◆  CAMPS  &amp;  SCHOOL  PARTNERSHIPS  (added per Toufic — May 2026)</t>
  </si>
  <si>
    <t xml:space="preserve">  Summer camp fee per student ($)</t>
  </si>
  <si>
    <t xml:space="preserve">  Avg students per camp run</t>
  </si>
  <si>
    <t xml:space="preserve">  Camp runs per year</t>
  </si>
  <si>
    <t xml:space="preserve">  School partnerships per year</t>
  </si>
  <si>
    <t xml:space="preserve">  Annual contract per school ($)</t>
  </si>
  <si>
    <t xml:space="preserve">  ↓  Active revenue (auto from BASE column)</t>
  </si>
  <si>
    <t xml:space="preserve">  Camps annual revenue (auto)</t>
  </si>
  <si>
    <t xml:space="preserve">⊙ AUTO = fee × students × runs</t>
  </si>
  <si>
    <t xml:space="preserve">  School partnerships annual revenue (auto)</t>
  </si>
  <si>
    <t xml:space="preserve">⊙ AUTO = schools × annual fee</t>
  </si>
  <si>
    <t xml:space="preserve">◆  TALENT  AGENCY  (NEW — May 2026 · Phase 1 captive grads + Phase 2 external Y3+)</t>
  </si>
  <si>
    <t xml:space="preserve">NEW v44 (May 2026): Phase 1 Academy-grad placements + Phase 2 external (Y3+). Hybrid fees: employer matching $400-900 + candidate success $250-600 (post-3mo employed, 50-75% collection). 60 Y4 placements (down from earlier 234 fantasy). EBITDA contribution Y4 Base: ~$48K.</t>
  </si>
  <si>
    <t xml:space="preserve">  ◊  PHASE 1 — Captive Academy grad placements</t>
  </si>
  <si>
    <t xml:space="preserve">    Y1 placements</t>
  </si>
  <si>
    <t xml:space="preserve">Y1 = pipeline-building year, no employer commitments yet</t>
  </si>
  <si>
    <t xml:space="preserve">    Y2 placements</t>
  </si>
  <si>
    <t xml:space="preserve">Y2 = first cohort placement + 3-5 employer agreements</t>
  </si>
  <si>
    <t xml:space="preserve">    Y3 placements</t>
  </si>
  <si>
    <t xml:space="preserve">Y3 = pipeline functioning, repeat employers</t>
  </si>
  <si>
    <t xml:space="preserve">    Y4+ placements (mature)</t>
  </si>
  <si>
    <t xml:space="preserve">Mature: employers coming inbound · 30-40% of bootcamp grads placed</t>
  </si>
  <si>
    <t xml:space="preserve">    Employer fee per placement ($)</t>
  </si>
  <si>
    <t xml:space="preserve">Small B2B matching fee (lower than 20% of salary norm — entry-level grads)</t>
  </si>
  <si>
    <t xml:space="preserve">    Candidate success fee ($, post 3mo employed)</t>
  </si>
  <si>
    <t xml:space="preserve">~0.5 month junior dev salary · paid only after 3mo continuous employment</t>
  </si>
  <si>
    <t xml:space="preserve">    Candidate fee collection rate</t>
  </si>
  <si>
    <t xml:space="preserve">Realistic post-employment collection rate (some quit, some default)</t>
  </si>
  <si>
    <t xml:space="preserve">  ◊  PHASE 2 — External tech talent (Y3 launch)</t>
  </si>
  <si>
    <t xml:space="preserve">    Y3 external placements</t>
  </si>
  <si>
    <t xml:space="preserve">First external placements via existing employer relationships</t>
  </si>
  <si>
    <t xml:space="preserve">    Y4 external placements</t>
  </si>
  <si>
    <t xml:space="preserve">Building external sourcing</t>
  </si>
  <si>
    <t xml:space="preserve">    Y5+ external placements (mature)</t>
  </si>
  <si>
    <t xml:space="preserve">Phase 2 mature · competing with ReKrute, Bayt</t>
  </si>
  <si>
    <t xml:space="preserve">    Avg fee per external placement ($)</t>
  </si>
  <si>
    <t xml:space="preserve">Higher fee = experienced candidates command 15-25% of first-year salary</t>
  </si>
  <si>
    <t xml:space="preserve">  ◊  ACTIVE OUTPUTS (auto from BASE column · driven by G5 scenario selector)</t>
  </si>
  <si>
    <t xml:space="preserve">  ◊  ACTIVE OUTPUTS (auto from scenario selector)</t>
  </si>
  <si>
    <t xml:space="preserve">    Active Phase 1 Y1 placements</t>
  </si>
  <si>
    <t xml:space="preserve">    Active Phase 1 Y2 placements</t>
  </si>
  <si>
    <t xml:space="preserve">    Active Phase 1 Y3 placements</t>
  </si>
  <si>
    <t xml:space="preserve">    Active Phase 1 Y4+ placements</t>
  </si>
  <si>
    <t xml:space="preserve">    Active employer fee</t>
  </si>
  <si>
    <t xml:space="preserve">    Active candidate fee</t>
  </si>
  <si>
    <t xml:space="preserve">    Active collection rate</t>
  </si>
  <si>
    <t xml:space="preserve">    Active Phase 2 Y3 placements</t>
  </si>
  <si>
    <t xml:space="preserve">    Active Phase 2 Y4 placements</t>
  </si>
  <si>
    <t xml:space="preserve">    Active Phase 2 Y5+ placements</t>
  </si>
  <si>
    <t xml:space="preserve">    Active external fee</t>
  </si>
  <si>
    <t xml:space="preserve">  ◊  Y4 REVENUE &amp; COST BUILD (mature year)</t>
  </si>
  <si>
    <t xml:space="preserve">    Phase 1 employer fee revenue (Y4)</t>
  </si>
  <si>
    <t xml:space="preserve">60 placements × $600 employer fee</t>
  </si>
  <si>
    <t xml:space="preserve">    Phase 1 candidate fee revenue (Y4, net of collection)</t>
  </si>
  <si>
    <t xml:space="preserve">60 placements × $400 candidate × 65% collection</t>
  </si>
  <si>
    <t xml:space="preserve">    Phase 2 external revenue (Y4)</t>
  </si>
  <si>
    <t xml:space="preserve">15 placements × $3,000</t>
  </si>
  <si>
    <t xml:space="preserve">    TOTAL TALENT AGENCY REVENUE (Y4)</t>
  </si>
  <si>
    <t xml:space="preserve">  ◊  Talent Agency Costs (Y4 mature)</t>
  </si>
  <si>
    <t xml:space="preserve">    Talent manager (1 FTE)</t>
  </si>
  <si>
    <t xml:space="preserve">    BD / employer relations (0.5 FTE)</t>
  </si>
  <si>
    <t xml:space="preserve">    Phase 2 recruiter (1 FTE, Y3+)</t>
  </si>
  <si>
    <t xml:space="preserve">    ATS / CRM software</t>
  </si>
  <si>
    <t xml:space="preserve">    Legal / employment contracts</t>
  </si>
  <si>
    <t xml:space="preserve">    TOTAL TALENT AGENCY COSTS</t>
  </si>
  <si>
    <t xml:space="preserve">  Assumption Register · Academy</t>
  </si>
  <si>
    <t xml:space="preserve">  30+ assumptions · Sourced · Confidence pre-classified · Sensitivity quantified · PENDING REVIEW until Toufic confirms</t>
  </si>
  <si>
    <t xml:space="preserve">⚠  CONFIDENCE column = my pre-classification (HIGH / MED / LOW); please review and override. SENSITIVITY column = revenue-impact magnitude if assumption is wrong by ±20%.</t>
  </si>
  <si>
    <t xml:space="preserve">◆  CAPACITY  &amp;  DEMAND  ENGINE</t>
  </si>
  <si>
    <t xml:space="preserve">  Capacity utilization % (Y4 mature)</t>
  </si>
  <si>
    <t xml:space="preserve">Casa private academy field data</t>
  </si>
  <si>
    <t xml:space="preserve">65% Base — aggressive for Y4. Casa norm is 50-70%.</t>
  </si>
  <si>
    <t xml:space="preserve">  Conversion % (Gaming Hall → Academy)</t>
  </si>
  <si>
    <t xml:space="preserve">Cross-pillar referral assumption</t>
  </si>
  <si>
    <t xml:space="preserve">5% conversion — UNTESTED at Casa scale; sensitivity high</t>
  </si>
  <si>
    <t xml:space="preserve">3 rotations of classes/day — standard private academy</t>
  </si>
  <si>
    <t xml:space="preserve">Morocco school calendar</t>
  </si>
  <si>
    <t xml:space="preserve">26 days — accounts for Sundays + holidays</t>
  </si>
  <si>
    <t xml:space="preserve">Industry norm — twice-weekly cadence</t>
  </si>
  <si>
    <t xml:space="preserve">8 sessions/mo = ~2/week typical academy schedule</t>
  </si>
  <si>
    <t xml:space="preserve">  Total classroom + lab seats</t>
  </si>
  <si>
    <t xml:space="preserve">Floor plan (8 rooms + 3 labs)</t>
  </si>
  <si>
    <t xml:space="preserve">450 seats — physical ceiling, drives Bull case</t>
  </si>
  <si>
    <t xml:space="preserve">46,800 — Gaming Hall TAM at Casa mature; LIVE LINK in Master integration</t>
  </si>
  <si>
    <t xml:space="preserve">◆  PRICING  —  TUITION  TIERS</t>
  </si>
  <si>
    <t xml:space="preserve">Casa pricing study (Le Wagon comp $5-8K full)</t>
  </si>
  <si>
    <t xml:space="preserve">$95/mo = ~950 MAD; recurring vs. competitor one-shots</t>
  </si>
  <si>
    <t xml:space="preserve">  Monthly fee — PREMIUM tier (30% of students)</t>
  </si>
  <si>
    <t xml:space="preserve">Premium AI/coding tier positioning</t>
  </si>
  <si>
    <t xml:space="preserve">$150/mo = ~1,500 MAD; advanced courses</t>
  </si>
  <si>
    <t xml:space="preserve">Mix assumption</t>
  </si>
  <si>
    <t xml:space="preserve">30% premium — UNTESTED at Casa; could be 15-40% range</t>
  </si>
  <si>
    <t xml:space="preserve">  BLENDED monthly fee (computed)</t>
  </si>
  <si>
    <t xml:space="preserve">Computed: 70% × $95 + 30% × $150</t>
  </si>
  <si>
    <t xml:space="preserve">$112 effective ARPU/mo</t>
  </si>
  <si>
    <t xml:space="preserve">  Lab fee (one-time, per program)</t>
  </si>
  <si>
    <t xml:space="preserve">Specialized lab pricing</t>
  </si>
  <si>
    <t xml:space="preserve">$200 — 30% of students enroll; minor revenue line</t>
  </si>
  <si>
    <t xml:space="preserve">  Retention (months avg)</t>
  </si>
  <si>
    <t xml:space="preserve">Subscription benchmark</t>
  </si>
  <si>
    <t xml:space="preserve">HIGH (LTV driver)</t>
  </si>
  <si>
    <t xml:space="preserve">6 months — LTV = $112 × 6 = $672/student</t>
  </si>
  <si>
    <t xml:space="preserve">◆  CORPORATE  B2B  TRAINING</t>
  </si>
  <si>
    <t xml:space="preserve">  Corporate sessions per month</t>
  </si>
  <si>
    <t xml:space="preserve">B2B sales pipeline forecast</t>
  </si>
  <si>
    <t xml:space="preserve">11/mo = 132/yr; UNVALIDATED pipeline, biggest risk</t>
  </si>
  <si>
    <t xml:space="preserve">  Corporate fee per session</t>
  </si>
  <si>
    <t xml:space="preserve">Casa intl trainer comparable</t>
  </si>
  <si>
    <t xml:space="preserve">$3,000/session; Casa intl trainers $5,950 for 5-day</t>
  </si>
  <si>
    <t xml:space="preserve">◆  COWORKING</t>
  </si>
  <si>
    <t xml:space="preserve">  Coworking seats (capacity)</t>
  </si>
  <si>
    <t xml:space="preserve">Floor plan allocation</t>
  </si>
  <si>
    <t xml:space="preserve">35 seats — physical capacity</t>
  </si>
  <si>
    <t xml:space="preserve">Casa coworking market norm</t>
  </si>
  <si>
    <t xml:space="preserve">60% — Casa premium urban norm 50-75%</t>
  </si>
  <si>
    <t xml:space="preserve">  Coworking monthly fee</t>
  </si>
  <si>
    <t xml:space="preserve">Regus Casa: 1,450-3,050 MAD/mo (Apr 2026)</t>
  </si>
  <si>
    <t xml:space="preserve">$100/mo = ~1,000 MAD; LOW END of Casa standard</t>
  </si>
  <si>
    <t xml:space="preserve">◆  PODS  &amp;  HOURLY</t>
  </si>
  <si>
    <t xml:space="preserve">  Pod bookings per month</t>
  </si>
  <si>
    <t xml:space="preserve">Operations forecast</t>
  </si>
  <si>
    <t xml:space="preserve">100/mo Base — minor revenue stream; UNVALIDATED</t>
  </si>
  <si>
    <t xml:space="preserve">  Pod price per hour</t>
  </si>
  <si>
    <t xml:space="preserve">$15/hour = ~150 MAD; in line with Casa norms</t>
  </si>
  <si>
    <t xml:space="preserve">◆  INCUBATION  PROGRAM</t>
  </si>
  <si>
    <t xml:space="preserve">Casa accelerator pace</t>
  </si>
  <si>
    <t xml:space="preserve">2 cohorts/yr Base — most MENA accels run 1-2/yr</t>
  </si>
  <si>
    <t xml:space="preserve">Curated cohort size</t>
  </si>
  <si>
    <t xml:space="preserve">6/cohort — Google MENA runs 10-15; we are smaller/curated</t>
  </si>
  <si>
    <t xml:space="preserve">  Cohort fee per startup</t>
  </si>
  <si>
    <t xml:space="preserve">Community-model pricing</t>
  </si>
  <si>
    <t xml:space="preserve">$4,000 — UNUSUAL: most MENA accels equity-free or equity. Sanabil 500 charges $35K</t>
  </si>
  <si>
    <t xml:space="preserve">Industry: 30-50%</t>
  </si>
  <si>
    <t xml:space="preserve">HIGH (rev share)</t>
  </si>
  <si>
    <t xml:space="preserve">50% Base — slightly optimistic; industry 30-50%</t>
  </si>
  <si>
    <t xml:space="preserve">  Avg surviving startup revenue</t>
  </si>
  <si>
    <t xml:space="preserve">$80K/yr — UNVALIDATED at Casa scale</t>
  </si>
  <si>
    <t xml:space="preserve">Industry standard</t>
  </si>
  <si>
    <t xml:space="preserve">5% × 3 years post-graduation; legally enforceable in MA?</t>
  </si>
  <si>
    <t xml:space="preserve">Industry haircut for non-payment</t>
  </si>
  <si>
    <t xml:space="preserve">70% Base — UNVALIDATED legal/operational</t>
  </si>
  <si>
    <t xml:space="preserve">◆  COST  STRUCTURE</t>
  </si>
  <si>
    <t xml:space="preserve">  Lead instructor salary (annual)</t>
  </si>
  <si>
    <t xml:space="preserve">Casa wage data senior FTE</t>
  </si>
  <si>
    <t xml:space="preserve">$30K = ~300K MAD; senior tech instructor</t>
  </si>
  <si>
    <t xml:space="preserve">  Junior instructor cost (4 FTE fixed)</t>
  </si>
  <si>
    <t xml:space="preserve">Casa junior FTE rate</t>
  </si>
  <si>
    <t xml:space="preserve">$86,400 = 4 × $1,800/mo × 12</t>
  </si>
  <si>
    <t xml:space="preserve">  Variable instructor cost per student/mo</t>
  </si>
  <si>
    <t xml:space="preserve">Hourly contractor rate</t>
  </si>
  <si>
    <t xml:space="preserve">$25/student/mo — scales with volume; major margin lever</t>
  </si>
  <si>
    <t xml:space="preserve">600 sqm × Casa Class A rate</t>
  </si>
  <si>
    <t xml:space="preserve">$60K = ~$100/sqm/yr; verify against Cushman &amp; Wakefield Casa report</t>
  </si>
  <si>
    <t xml:space="preserve">  Software licenses (annual)</t>
  </si>
  <si>
    <t xml:space="preserve">$24K — Canvas/Moodle + curriculum licensing</t>
  </si>
  <si>
    <t xml:space="preserve">  Materials per student/mo</t>
  </si>
  <si>
    <t xml:space="preserve">Education industry estimate</t>
  </si>
  <si>
    <t xml:space="preserve">$5/student/mo — books, printouts, basics</t>
  </si>
  <si>
    <t xml:space="preserve">  Lab consumables per student/mo</t>
  </si>
  <si>
    <t xml:space="preserve">Hardware wear estimate</t>
  </si>
  <si>
    <t xml:space="preserve">$8/student/mo — components, refresh</t>
  </si>
  <si>
    <t xml:space="preserve">◆  WORKING  CAPITAL  &amp;  OTHER</t>
  </si>
  <si>
    <t xml:space="preserve">  Receivables days (B2B)</t>
  </si>
  <si>
    <t xml:space="preserve">Corporate net-30 standard</t>
  </si>
  <si>
    <t xml:space="preserve">Cash for retail, net-30 for B2B corporates</t>
  </si>
  <si>
    <t xml:space="preserve">  Payables days</t>
  </si>
  <si>
    <t xml:space="preserve">Vendor terms</t>
  </si>
  <si>
    <t xml:space="preserve">  Inventory % of revenue</t>
  </si>
  <si>
    <t xml:space="preserve">Education industry — mostly digital</t>
  </si>
  <si>
    <t xml:space="preserve">Minimal — books, components</t>
  </si>
  <si>
    <t xml:space="preserve">  Maintenance capex %</t>
  </si>
  <si>
    <t xml:space="preserve">Education industry</t>
  </si>
  <si>
    <t xml:space="preserve">2% of revenue = ~$18K/yr equipment refresh</t>
  </si>
  <si>
    <t xml:space="preserve">  Annual price increase %</t>
  </si>
  <si>
    <t xml:space="preserve">Morocco CPI long-term</t>
  </si>
  <si>
    <t xml:space="preserve">3% — Morocco inflation; affects Y6-Y8 +5% scenarios</t>
  </si>
  <si>
    <t xml:space="preserve">  Y1 ramp %</t>
  </si>
  <si>
    <t xml:space="preserve">80% Y1 acknowledges market education curve</t>
  </si>
  <si>
    <t xml:space="preserve">CONFIDENCE LEGEND: HIGH (green) = validated by Pixoul UAE actuals or external benchmark; MED (saffron) = industry comparable / reasonable inference; LOW (red) = estimate, requires validation before raise. SENSITIVITY: HIGH = ±20% of this driver moves Y4 EBITDA by &gt;$30K; MED = $10-30K; LOW = &lt;$10K. All "PENDING REVIEW" tags must be resolved before pre-PE diligence.</t>
  </si>
  <si>
    <t xml:space="preserve">  Workshop revenue mix (% of base)</t>
  </si>
  <si>
    <t xml:space="preserve">  Premium track mix (% of base)</t>
  </si>
  <si>
    <t xml:space="preserve">  Revenue Build · 8 Streams  </t>
  </si>
  <si>
    <t xml:space="preserve">  Recurring + transactional · Built bottom-up · 8 streams + Capacity &amp; Capture %</t>
  </si>
  <si>
    <t xml:space="preserve">◆  REVENUE  STREAMS  (8 streams · auto-summed)</t>
  </si>
  <si>
    <t xml:space="preserve">Unit price</t>
  </si>
  <si>
    <t xml:space="preserve">  Core Programs (recurring)</t>
  </si>
  <si>
    <t xml:space="preserve">Active students × BLENDED monthly fee × 12 (recurring)</t>
  </si>
  <si>
    <t xml:space="preserve">  Lab Programs (one-time)</t>
  </si>
  <si>
    <t xml:space="preserve">30% of students × lab fee × cohorts per year (12/retention)</t>
  </si>
  <si>
    <t xml:space="preserve">Corporate sessions/mo × fee × 12 months</t>
  </si>
  <si>
    <t xml:space="preserve">Seats × util % × monthly fee × 12 months</t>
  </si>
  <si>
    <t xml:space="preserve">Bookings/mo × price × 12 months</t>
  </si>
  <si>
    <t xml:space="preserve">  Coffee/cafe (minor in-pillar — F&amp;B gets bulk)</t>
  </si>
  <si>
    <t xml:space="preserve">Small share kept here for student convenience tracking · F&amp;B pillar handles main F&amp;B revenue</t>
  </si>
  <si>
    <t xml:space="preserve">  Incubation Program (cohort fees + revenue share)</t>
  </si>
  <si>
    <t xml:space="preserve">  Summer Camps &amp; Holiday Programs</t>
  </si>
  <si>
    <t xml:space="preserve">  School Partnerships (Pixoul UAE leverage)</t>
  </si>
  <si>
    <t xml:space="preserve">  Talent Agency (placement fees + external)</t>
  </si>
  <si>
    <t xml:space="preserve">Phase 1: Academy grad placements (Y1-Y4 ramp). Phase 2: external talent (Y3+)</t>
  </si>
  <si>
    <t xml:space="preserve">  TOTAL ACADEMY REVENUE</t>
  </si>
  <si>
    <t xml:space="preserve">  Corporate Training</t>
  </si>
  <si>
    <t xml:space="preserve">  Coworking</t>
  </si>
  <si>
    <t xml:space="preserve">  Pod Bookings</t>
  </si>
  <si>
    <t xml:space="preserve">  Coffee/cafe</t>
  </si>
  <si>
    <t xml:space="preserve">  School Partnerships</t>
  </si>
  <si>
    <t xml:space="preserve">◆  CAPACITY  STATUS</t>
  </si>
  <si>
    <t xml:space="preserve">  Constraint type:</t>
  </si>
  <si>
    <t xml:space="preserve">  Realistic capacity:</t>
  </si>
  <si>
    <t xml:space="preserve">  Demand from Gaming Hall:</t>
  </si>
  <si>
    <t xml:space="preserve">  Actual student-sessions/mo:</t>
  </si>
  <si>
    <t xml:space="preserve">  Line-by-line cost behavior · Fixed / Variable / Semi-Variable</t>
  </si>
  <si>
    <t xml:space="preserve">Per Student</t>
  </si>
  <si>
    <t xml:space="preserve">  Lead instructor salary</t>
  </si>
  <si>
    <t xml:space="preserve">1 senior FTE</t>
  </si>
  <si>
    <t xml:space="preserve">  Junior instructors (4 FTE CORE)</t>
  </si>
  <si>
    <t xml:space="preserve">4 FTE × Casa rate (was 8 FTE — variable hourly added separately at R19)</t>
  </si>
  <si>
    <t xml:space="preserve">  Admin staff (2 FTE)</t>
  </si>
  <si>
    <t xml:space="preserve">2 FTE × Casa rate</t>
  </si>
  <si>
    <t xml:space="preserve">Pillar share of venue rent</t>
  </si>
  <si>
    <t xml:space="preserve">Lighting, baseline HVAC</t>
  </si>
  <si>
    <t xml:space="preserve">  Maintenance</t>
  </si>
  <si>
    <t xml:space="preserve">  Software licenses</t>
  </si>
  <si>
    <t xml:space="preserve">LMS, course content</t>
  </si>
  <si>
    <t xml:space="preserve">  Marketing baseline + B2B BD FTE</t>
  </si>
  <si>
    <t xml:space="preserve">⚠ MOVED to Master Cost C44 (Central Marketing $300K) | (was: NEW Apr 2026: $18K marketing + $44K B2B BD FTE = $)</t>
  </si>
  <si>
    <t xml:space="preserve">  Materials per student</t>
  </si>
  <si>
    <t xml:space="preserve">Per student/mo × active × 12</t>
  </si>
  <si>
    <t xml:space="preserve">  Lab consumables per student</t>
  </si>
  <si>
    <t xml:space="preserve">30% lab uptake × consumables</t>
  </si>
  <si>
    <t xml:space="preserve">  Corporate session direct cost</t>
  </si>
  <si>
    <t xml:space="preserve">Per session × annual sessions</t>
  </si>
  <si>
    <t xml:space="preserve">  Variable instructor cost (per student/mo)</t>
  </si>
  <si>
    <t xml:space="preserve">Hourly contract instructors — scales with students</t>
  </si>
  <si>
    <t xml:space="preserve">  Variable utilities</t>
  </si>
  <si>
    <t xml:space="preserve">  Incubation Program (PM + mentors + workspace + demo day)</t>
  </si>
  <si>
    <t xml:space="preserve">PM 0.5 FTE + mentor stipends + workspace + demo day</t>
  </si>
  <si>
    <t xml:space="preserve">  Camps + School Partnerships variable cost</t>
  </si>
  <si>
    <t xml:space="preserve">  Talent Agency operating costs (NEW)</t>
  </si>
  <si>
    <t xml:space="preserve">TM 1 FTE + BD 0.5 FTE + Phase 2 recruiter Y3+ + ATS + Legal</t>
  </si>
  <si>
    <t xml:space="preserve">◆  FIXED  /  VARIABLE  SPLIT  (line-by-line, weighted)</t>
  </si>
  <si>
    <t xml:space="preserve">    Eight-Year Projection · Academy</t>
  </si>
  <si>
    <t xml:space="preserve">    Revenue × ramp × inflation · Cost progression · 8-year horizon</t>
  </si>
  <si>
    <t xml:space="preserve">Price inflation factor (3%/yr)</t>
  </si>
  <si>
    <t xml:space="preserve">◆  KEY  PROJECTION  METRICS  (8-year horizon)</t>
  </si>
  <si>
    <t xml:space="preserve">Year 1 ramping at 80% of mature</t>
  </si>
  <si>
    <t xml:space="preserve">Year 8 = 105% × inflation cumulative</t>
  </si>
  <si>
    <t xml:space="preserve">8-Year Cumulative GC</t>
  </si>
  <si>
    <t xml:space="preserve">8-Year Avg Gross Margin</t>
  </si>
  <si>
    <t xml:space="preserve">    Profit &amp; Loss · Academy</t>
  </si>
  <si>
    <t xml:space="preserve">    Income statement view · 8-year horizon · Pulls from 4_8-Year</t>
  </si>
  <si>
    <t xml:space="preserve">Starting year (80% utilization)</t>
  </si>
  <si>
    <t xml:space="preserve">ℹ  ARCHITECTURE  NOTE</t>
  </si>
  <si>
    <t xml:space="preserve">  This is a PILLAR-LEVEL P&amp;L (revenue → direct costs → gross profit). It does NOT include:
  • Corporate overhead (lives at Master level — see 1·Executive Summary Platform EBITDA)
  • Depreciation, interest, tax (CapEx + tax modeled at Master 11·CapEx &amp; Cash Flow)
  This is intentional: pillar EBITDA = direct contribution; consolidation logic at Master.</t>
  </si>
  <si>
    <t xml:space="preserve">    Cash Flow Forecast · Academy</t>
  </si>
  <si>
    <t xml:space="preserve">    OCF · Working capital · Maintenance capex · 8-year horizon</t>
  </si>
  <si>
    <t xml:space="preserve">◆  MAINTENANCE  CAPEX</t>
  </si>
  <si>
    <t xml:space="preserve">NOTE: Initial build CapEx (Y0) lives at Master 11·CapEx &amp; Cash Flow</t>
  </si>
  <si>
    <t xml:space="preserve">  Cash conversion %</t>
  </si>
  <si>
    <t xml:space="preserve">Gross profit → operating cash</t>
  </si>
  <si>
    <t xml:space="preserve">  Unit Economics · LTV · CAC · Payback</t>
  </si>
  <si>
    <t xml:space="preserve">  Per-student economics — what makes recurring revenue valuable</t>
  </si>
  <si>
    <t xml:space="preserve">◆  PER-STUDENT  ECONOMICS  (mature year)</t>
  </si>
  <si>
    <t xml:space="preserve">  Active students per month</t>
  </si>
  <si>
    <t xml:space="preserve">From capacity/demand engine</t>
  </si>
  <si>
    <t xml:space="preserve">  Annual unique students (cohort cycles)</t>
  </si>
  <si>
    <t xml:space="preserve">Active × (12 / retention months) = cohort throughput</t>
  </si>
  <si>
    <t xml:space="preserve">  Avg revenue per student (annual)</t>
  </si>
  <si>
    <t xml:space="preserve">Total revenue ÷ active students</t>
  </si>
  <si>
    <t xml:space="preserve">  Direct cost per student (annual)</t>
  </si>
  <si>
    <t xml:space="preserve">Total costs ÷ active students</t>
  </si>
  <si>
    <t xml:space="preserve">  Gross contribution per student</t>
  </si>
  <si>
    <t xml:space="preserve">Revenue/student - Cost/student</t>
  </si>
  <si>
    <t xml:space="preserve">◆  LIFETIME  VALUE  (LTV)</t>
  </si>
  <si>
    <t xml:space="preserve">  Monthly fee (active scenario)</t>
  </si>
  <si>
    <t xml:space="preserve">Per-student monthly recurring</t>
  </si>
  <si>
    <t xml:space="preserve">  LTV (gross revenue per student)</t>
  </si>
  <si>
    <t xml:space="preserve">Monthly fee × retention months</t>
  </si>
  <si>
    <t xml:space="preserve">  LTV (gross contribution)</t>
  </si>
  <si>
    <t xml:space="preserve">LTV × gross margin %</t>
  </si>
  <si>
    <t xml:space="preserve">◆  CAC  &amp;  PAYBACK</t>
  </si>
  <si>
    <t xml:space="preserve">  Annual marketing spend</t>
  </si>
  <si>
    <t xml:space="preserve">Pillar marketing budget</t>
  </si>
  <si>
    <t xml:space="preserve">  % new students from PAID acquisition</t>
  </si>
  <si>
    <t xml:space="preserve">Casa academies typically 40-60% paid · rest is organic/referral</t>
  </si>
  <si>
    <t xml:space="preserve">  Annual new students acquired (total)</t>
  </si>
  <si>
    <t xml:space="preserve">Active × (12 ÷ retention) = annual cohort throughput</t>
  </si>
  <si>
    <t xml:space="preserve">  New students from PAID channel</t>
  </si>
  <si>
    <t xml:space="preserve">Total × paid acquisition %</t>
  </si>
  <si>
    <t xml:space="preserve">  CAC — paid acquisition (realistic)</t>
  </si>
  <si>
    <t xml:space="preserve">Marketing ÷ paid students · Casa benchmark $80-150</t>
  </si>
  <si>
    <t xml:space="preserve">  CAC — blended (all sources)</t>
  </si>
  <si>
    <t xml:space="preserve">Marketing ÷ all students · diluted by free organic</t>
  </si>
  <si>
    <t xml:space="preserve">  LTV/CAC ratio (vs paid CAC)</t>
  </si>
  <si>
    <t xml:space="preserve">Industry healthy: 3x+ · We use PAID CAC as conservative ratio</t>
  </si>
  <si>
    <t xml:space="preserve">  Payback period (months, paid CAC)</t>
  </si>
  <si>
    <t xml:space="preserve">Paid CAC ÷ blended monthly fee · 1-3 months excellent</t>
  </si>
  <si>
    <t xml:space="preserve">  Total Academy sqm (estimate)</t>
  </si>
  <si>
    <t xml:space="preserve">8 rooms + 3 labs + coworking + circulation</t>
  </si>
  <si>
    <t xml:space="preserve">  Revenue per sqm (annual)</t>
  </si>
  <si>
    <t xml:space="preserve">Industry benchmark: $300-800/sqm for premium academies</t>
  </si>
  <si>
    <t xml:space="preserve">All 6 streams combined</t>
  </si>
  <si>
    <t xml:space="preserve">Premium academies: 50-70%</t>
  </si>
  <si>
    <t xml:space="preserve">  How many students to cover fixed costs · Margin of safety vs current footing</t>
  </si>
  <si>
    <t xml:space="preserve">  ⓘ Why 83% contribution margin vs 46% gross margin? Contribution margin excludes fixed costs (rent, salaries) which are present in gross margin. Both are correct.</t>
  </si>
  <si>
    <t xml:space="preserve">◆  BREAKEVEN  IN  STUDENTS</t>
  </si>
  <si>
    <t xml:space="preserve">  Breakeven students (active/mo)</t>
  </si>
  <si>
    <t xml:space="preserve">Active students to cover fixed costs</t>
  </si>
  <si>
    <t xml:space="preserve">  Current active students</t>
  </si>
  <si>
    <t xml:space="preserve">  Buffer (students above breakeven)</t>
  </si>
  <si>
    <t xml:space="preserve">Cushion in active student count</t>
  </si>
  <si>
    <t xml:space="preserve">    Capacity Ceiling · Academy</t>
  </si>
  <si>
    <t xml:space="preserve">    Maximum throughput analysis · Stretch &amp; bull case</t>
  </si>
  <si>
    <t xml:space="preserve">◆  CAPACITY  ANALYSIS  BY  STREAM</t>
  </si>
  <si>
    <t xml:space="preserve">Capacity (mature)</t>
  </si>
  <si>
    <t xml:space="preserve">Core program enrollment</t>
  </si>
  <si>
    <t xml:space="preserve">Hours × instructor capacity</t>
  </si>
  <si>
    <t xml:space="preserve">Coworking memberships</t>
  </si>
  <si>
    <t xml:space="preserve">Seats × utilization</t>
  </si>
  <si>
    <t xml:space="preserve">Corporate B2B contracts</t>
  </si>
  <si>
    <t xml:space="preserve">B2B pipeline</t>
  </si>
  <si>
    <t xml:space="preserve">Incubation cohorts</t>
  </si>
  <si>
    <t xml:space="preserve">Cohort × revenue share</t>
  </si>
  <si>
    <t xml:space="preserve">Stretch (+25% volume)</t>
  </si>
  <si>
    <t xml:space="preserve">Aggressive marketing + brand</t>
  </si>
  <si>
    <t xml:space="preserve">Bull (+50% volume)</t>
  </si>
  <si>
    <t xml:space="preserve">Major partnerships + GCC export</t>
  </si>
  <si>
    <t xml:space="preserve">Theoretical ceiling</t>
  </si>
  <si>
    <t xml:space="preserve">Physical max — not realistic</t>
  </si>
  <si>
    <t xml:space="preserve">◆  INVESTOR  NARRATIVE</t>
  </si>
  <si>
    <t xml:space="preserve">  ACADEMY CAPACITY:
  •  Limited by instructor-to-student ratio (1:8 typical for hands-on programs).
  •  Coworking space utilization can stretch 50% during off-class hours.
  •  Corporate B2B has unlimited upside — runs in their venues, not Casa.
  •  Bull case: Add online/hybrid programs → 2x revenue without physical scaling.</t>
  </si>
  <si>
    <t xml:space="preserve">  Operating KPIs · Academy</t>
  </si>
  <si>
    <t xml:space="preserve">  Track to manage performance · Threshold = ALARM LEVEL · Owner accountability</t>
  </si>
  <si>
    <t xml:space="preserve">◆  WEEKLY  &amp;  OPERATIONAL  KPIs  (track to manage the business)</t>
  </si>
  <si>
    <t xml:space="preserve">Academy Director</t>
  </si>
  <si>
    <t xml:space="preserve">Enrollment system / student database</t>
  </si>
  <si>
    <t xml:space="preserve">Sessions delivered / capacity</t>
  </si>
  <si>
    <t xml:space="preserve">&lt; 3.5%</t>
  </si>
  <si>
    <t xml:space="preserve">Marketing + Director</t>
  </si>
  <si>
    <t xml:space="preserve">Tracked enrollment from Gaming Hall referral codes</t>
  </si>
  <si>
    <t xml:space="preserve">  Retention months (avg)</t>
  </si>
  <si>
    <t xml:space="preserve">&lt; 5 months</t>
  </si>
  <si>
    <t xml:space="preserve">Per cohort</t>
  </si>
  <si>
    <t xml:space="preserve">CRM cohort tracking</t>
  </si>
  <si>
    <t xml:space="preserve">  Completion rate %</t>
  </si>
  <si>
    <t xml:space="preserve">&lt; 70%</t>
  </si>
  <si>
    <t xml:space="preserve">Lead Instructor</t>
  </si>
  <si>
    <t xml:space="preserve">Cohort completion / enrollment ratio</t>
  </si>
  <si>
    <t xml:space="preserve">Daily occupancy log / member check-ins</t>
  </si>
  <si>
    <t xml:space="preserve">  Coworking renewal rate %</t>
  </si>
  <si>
    <t xml:space="preserve">Members renewing / total expiring members</t>
  </si>
  <si>
    <t xml:space="preserve">  Corporate sessions delivered</t>
  </si>
  <si>
    <t xml:space="preserve">&lt; 90/yr</t>
  </si>
  <si>
    <t xml:space="preserve">B2B Sales</t>
  </si>
  <si>
    <t xml:space="preserve">Contracts × delivered sessions</t>
  </si>
  <si>
    <t xml:space="preserve">  Corporate pipeline value ($)</t>
  </si>
  <si>
    <t xml:space="preserve">&lt; $80K</t>
  </si>
  <si>
    <t xml:space="preserve">CRM weighted pipeline</t>
  </si>
  <si>
    <t xml:space="preserve">  Pod booking utilization</t>
  </si>
  <si>
    <t xml:space="preserve">&lt; $1,000/mo</t>
  </si>
  <si>
    <t xml:space="preserve">Pod hourly bookings tracker</t>
  </si>
  <si>
    <t xml:space="preserve">  Incubation cohort signups (annual)</t>
  </si>
  <si>
    <t xml:space="preserve">&lt; 8/yr</t>
  </si>
  <si>
    <t xml:space="preserve">Incubation Lead</t>
  </si>
  <si>
    <t xml:space="preserve">Cohort applications closed</t>
  </si>
  <si>
    <t xml:space="preserve">  Incubation graduate survival (Y2+)</t>
  </si>
  <si>
    <t xml:space="preserve">&lt; 30%</t>
  </si>
  <si>
    <t xml:space="preserve">Track graduated startups Y1/Y2</t>
  </si>
  <si>
    <t xml:space="preserve">  Student NPS</t>
  </si>
  <si>
    <t xml:space="preserve">&lt; 50</t>
  </si>
  <si>
    <t xml:space="preserve">Post-program survey (NPS framework)</t>
  </si>
  <si>
    <t xml:space="preserve">  Instructor utilization %</t>
  </si>
  <si>
    <t xml:space="preserve">&lt; 60%</t>
  </si>
  <si>
    <t xml:space="preserve">Hours taught / hours scheduled</t>
  </si>
  <si>
    <t xml:space="preserve">  Equipment uptime % (labs)</t>
  </si>
  <si>
    <t xml:space="preserve">P&amp;L · Master Revenue</t>
  </si>
  <si>
    <t xml:space="preserve">P&amp;L tab</t>
  </si>
  <si>
    <t xml:space="preserve">&lt; 40%</t>
  </si>
  <si>
    <t xml:space="preserve">  Recurring revenue ratio (Core+Coworking)</t>
  </si>
  <si>
    <t xml:space="preserve">Stickiness indicator</t>
  </si>
  <si>
    <t xml:space="preserve">  Corporate revenue concentration</t>
  </si>
  <si>
    <t xml:space="preserve">Concentration risk (B2B-heavy)</t>
  </si>
  <si>
    <t xml:space="preserve">  Monthly OCF</t>
  </si>
  <si>
    <t xml:space="preserve">Cash Flow tab</t>
  </si>
  <si>
    <t xml:space="preserve">  LTV / CAC ratio</t>
  </si>
  <si>
    <t xml:space="preserve">&lt; 3x</t>
  </si>
  <si>
    <t xml:space="preserve">Marketing + CFO</t>
  </si>
  <si>
    <t xml:space="preserve">Healthy if &gt; 3x</t>
  </si>
  <si>
    <t xml:space="preserve">  CAC payback (months)</t>
  </si>
  <si>
    <t xml:space="preserve">&gt; 4 months</t>
  </si>
  <si>
    <t xml:space="preserve">Months to recover acquisition cost</t>
  </si>
  <si>
    <t xml:space="preserve">  Y4 EBITDA target</t>
  </si>
  <si>
    <t xml:space="preserve">  Revenue YoY growth</t>
  </si>
  <si>
    <t xml:space="preserve">&lt; 5%</t>
  </si>
  <si>
    <t xml:space="preserve">8-Year tab YoY % change</t>
  </si>
  <si>
    <t xml:space="preserve">The RED THRESHOLDS column shows ALARM levels — values at which to escalate. Examples:  "&lt; 80% of plan" = if monthly revenue falls below 80% of the Y4 target → escalate.  "&lt; 50%" for utilization = if capacity drops below 50% → marketing intervention.  These are operational alerts, not assumptions — calibrate based on your risk tolerance.</t>
  </si>
  <si>
    <t xml:space="preserve">  Side-by-side comparison · Probability-weighted expected revenue</t>
  </si>
  <si>
    <t xml:space="preserve">  Realistic capacity (sessions/mo)</t>
  </si>
  <si>
    <t xml:space="preserve">  Demand from Gaming Hall (sessions/mo)</t>
  </si>
  <si>
    <t xml:space="preserve">  LTV per student</t>
  </si>
  <si>
    <t xml:space="preserve">  Recompute revenue with each driver shifted ±10%/±20%</t>
  </si>
  <si>
    <t xml:space="preserve">  Conversion % (G→A)</t>
  </si>
  <si>
    <t xml:space="preserve">  Retention months</t>
  </si>
  <si>
    <t xml:space="preserve">  Monthly fee</t>
  </si>
  <si>
    <t xml:space="preserve">  Coworking utilization</t>
  </si>
  <si>
    <t xml:space="preserve">  Note: utilization shows zero variance</t>
  </si>
  <si>
    <t xml:space="preserve">Capacity utilization shows zero variance because model is DEMAND-LIMITED (capacity &gt; demand). Add demand to see leverage.</t>
  </si>
  <si>
    <t xml:space="preserve">Each cell uses the ACTUAL revenue formula (capacity-constrained × demand × prices) with ONE driver shifted ±10%/±20%, others held at Base. No multipliers — exact first-principles math.
FOR FULL SCENARIO RECALC: Set master toggle (0·SUMMARY!H7) to BEAR/BULL and read 2·Revenue!E14.</t>
  </si>
  <si>
    <t xml:space="preserve">  Industry Benchmarks · Academy</t>
  </si>
  <si>
    <t xml:space="preserve">  Casablanca · MENA · Global · Live-sourced (April 2026)</t>
  </si>
  <si>
    <t xml:space="preserve">GCC / Premium</t>
  </si>
  <si>
    <t xml:space="preserve">  Active students/month (Y4 mature)</t>
  </si>
  <si>
    <t xml:space="preserve">180-300</t>
  </si>
  <si>
    <t xml:space="preserve">300-500</t>
  </si>
  <si>
    <t xml:space="preserve">Within Casa range</t>
  </si>
  <si>
    <t xml:space="preserve">Le Wagon, GOMYCODE cohort sizes</t>
  </si>
  <si>
    <t xml:space="preserve">70-85%</t>
  </si>
  <si>
    <t xml:space="preserve">40-55%</t>
  </si>
  <si>
    <t xml:space="preserve">50-65%</t>
  </si>
  <si>
    <t xml:space="preserve">Premium positioning</t>
  </si>
  <si>
    <t xml:space="preserve">Tech bootcamp industry data</t>
  </si>
  <si>
    <t xml:space="preserve">$800-1,500</t>
  </si>
  <si>
    <t xml:space="preserve">$1,500-2,500</t>
  </si>
  <si>
    <t xml:space="preserve">Strong</t>
  </si>
  <si>
    <t xml:space="preserve">600 sqm Academy footprint</t>
  </si>
  <si>
    <t xml:space="preserve">$60-120K</t>
  </si>
  <si>
    <t xml:space="preserve">$120-200K</t>
  </si>
  <si>
    <t xml:space="preserve">Lead+4 junior+2 admin = 7 FTE</t>
  </si>
  <si>
    <t xml:space="preserve">5-10</t>
  </si>
  <si>
    <t xml:space="preserve">10-18</t>
  </si>
  <si>
    <t xml:space="preserve">Right-sized for capacity</t>
  </si>
  <si>
    <t xml:space="preserve">Lead 1 + Junior 4 + Admin 2</t>
  </si>
  <si>
    <t xml:space="preserve">  Sessions/student/month</t>
  </si>
  <si>
    <t xml:space="preserve">6-12</t>
  </si>
  <si>
    <t xml:space="preserve">8-15</t>
  </si>
  <si>
    <t xml:space="preserve">Standard cadence</t>
  </si>
  <si>
    <t xml:space="preserve">Twice-weekly typical</t>
  </si>
  <si>
    <t xml:space="preserve">◆  PRICING  BENCHMARKS  —  Pixoul vs Casa Comparables (live-sourced Apr 2026)</t>
  </si>
  <si>
    <t xml:space="preserve">Activity / Product</t>
  </si>
  <si>
    <t xml:space="preserve">  Monthly tuition — BASE tier</t>
  </si>
  <si>
    <t xml:space="preserve">$70-150</t>
  </si>
  <si>
    <t xml:space="preserve">$150-300</t>
  </si>
  <si>
    <t xml:space="preserve">Premium urban academy</t>
  </si>
  <si>
    <t xml:space="preserve">  Monthly tuition — PREMIUM tier (advanced)</t>
  </si>
  <si>
    <t xml:space="preserve">$120-200</t>
  </si>
  <si>
    <t xml:space="preserve">Mid-Casa premium</t>
  </si>
  <si>
    <t xml:space="preserve">Advanced AI/coding tier</t>
  </si>
  <si>
    <t xml:space="preserve">  Lab fee (one-time per program)</t>
  </si>
  <si>
    <t xml:space="preserve">$300-600</t>
  </si>
  <si>
    <t xml:space="preserve">Casa range</t>
  </si>
  <si>
    <t xml:space="preserve">Specialized labs</t>
  </si>
  <si>
    <t xml:space="preserve">  Full bootcamp equivalent (annual fees)</t>
  </si>
  <si>
    <t xml:space="preserve">$1,000-2,000/yr</t>
  </si>
  <si>
    <t xml:space="preserve">$5,000-8,500 one-shot</t>
  </si>
  <si>
    <t xml:space="preserve">Recurring vs one-shot</t>
  </si>
  <si>
    <t xml:space="preserve">Le Wagon Casa ~$5-8K full-time bootcamp</t>
  </si>
  <si>
    <t xml:space="preserve">  Corporate session fee</t>
  </si>
  <si>
    <t xml:space="preserve">$1,200-1,500/day</t>
  </si>
  <si>
    <t xml:space="preserve">$2,500-5,950/day</t>
  </si>
  <si>
    <t xml:space="preserve">Below intl trainers</t>
  </si>
  <si>
    <t xml:space="preserve">Intl trainers: $5,950 5-day Casa</t>
  </si>
  <si>
    <t xml:space="preserve">  Coworking — monthly desk</t>
  </si>
  <si>
    <t xml:space="preserve">$72-250</t>
  </si>
  <si>
    <t xml:space="preserve">$250-450</t>
  </si>
  <si>
    <t xml:space="preserve">Standard Casa</t>
  </si>
  <si>
    <t xml:space="preserve">Regus Casa: 1,450-3,050 MAD/mo</t>
  </si>
  <si>
    <t xml:space="preserve">  Coworking — premium dedicated</t>
  </si>
  <si>
    <t xml:space="preserve">$280-350</t>
  </si>
  <si>
    <t xml:space="preserve">$400-600</t>
  </si>
  <si>
    <t xml:space="preserve">Below premium</t>
  </si>
  <si>
    <t xml:space="preserve">Office Hub Casa: 3,484 MAD/mo</t>
  </si>
  <si>
    <t xml:space="preserve">  Pod / hourly bookings</t>
  </si>
  <si>
    <t xml:space="preserve">$10-20</t>
  </si>
  <si>
    <t xml:space="preserve">Hourly room hire</t>
  </si>
  <si>
    <t xml:space="preserve">  Cohort fee (incubation, per startup)</t>
  </si>
  <si>
    <t xml:space="preserve">Mostly equity-free</t>
  </si>
  <si>
    <t xml:space="preserve">$35K (Sanabil 500)</t>
  </si>
  <si>
    <t xml:space="preserve">Community model</t>
  </si>
  <si>
    <t xml:space="preserve">Most MENA accelerators free or equity-only</t>
  </si>
  <si>
    <t xml:space="preserve">  ARPU per active student/yr (blended all streams)</t>
  </si>
  <si>
    <t xml:space="preserve">$1,500-3,500</t>
  </si>
  <si>
    <t xml:space="preserve">Tech bootcamp ARPU</t>
  </si>
  <si>
    <t xml:space="preserve">  Annual unique students (cohort throughput)</t>
  </si>
  <si>
    <t xml:space="preserve">6-month avg retention</t>
  </si>
  <si>
    <t xml:space="preserve">  Cost per student acquired (CAC)</t>
  </si>
  <si>
    <t xml:space="preserve">$80-200</t>
  </si>
  <si>
    <t xml:space="preserve">Casa SMB marketing rates</t>
  </si>
  <si>
    <t xml:space="preserve">  Lifetime value per student (LTV)</t>
  </si>
  <si>
    <t xml:space="preserve">$500-1,500</t>
  </si>
  <si>
    <t xml:space="preserve">Monthly fee × retention</t>
  </si>
  <si>
    <t xml:space="preserve">  LTV/CAC ratio</t>
  </si>
  <si>
    <t xml:space="preserve">3-7x</t>
  </si>
  <si>
    <t xml:space="preserve">&gt; 3x healthy</t>
  </si>
  <si>
    <t xml:space="preserve">  Payback period (months)</t>
  </si>
  <si>
    <t xml:space="preserve">&lt; 3 mo</t>
  </si>
  <si>
    <t xml:space="preserve">CAC recovery time</t>
  </si>
  <si>
    <t xml:space="preserve">50-75%</t>
  </si>
  <si>
    <t xml:space="preserve">Premium urban</t>
  </si>
  <si>
    <t xml:space="preserve">  Capacity ceiling (Bull case rev / current)</t>
  </si>
  <si>
    <t xml:space="preserve">1.5-2.5x</t>
  </si>
  <si>
    <t xml:space="preserve">Headroom to grow</t>
  </si>
  <si>
    <t xml:space="preserve">◆  CASA  COMPARABLES  —  Direct Competitor Pricing  (live-sourced Apr 2026)</t>
  </si>
  <si>
    <t xml:space="preserve">Provider</t>
  </si>
  <si>
    <t xml:space="preserve">Format</t>
  </si>
  <si>
    <t xml:space="preserve">Duration</t>
  </si>
  <si>
    <t xml:space="preserve">Price (USD)</t>
  </si>
  <si>
    <t xml:space="preserve">Model</t>
  </si>
  <si>
    <t xml:space="preserve">  Le Wagon Casa</t>
  </si>
  <si>
    <t xml:space="preserve">Full-time bootcamp</t>
  </si>
  <si>
    <t xml:space="preserve">9 weeks</t>
  </si>
  <si>
    <t xml:space="preserve">$5,000-8,600</t>
  </si>
  <si>
    <t xml:space="preserve">One-shot</t>
  </si>
  <si>
    <t xml:space="preserve">AI Software / Data Science; ~80K MAD</t>
  </si>
  <si>
    <t xml:space="preserve">Part-time bootcamp</t>
  </si>
  <si>
    <t xml:space="preserve">24 weeks</t>
  </si>
  <si>
    <t xml:space="preserve">Same curriculum, evenings/weekends</t>
  </si>
  <si>
    <t xml:space="preserve">  GOMYCODE Casa</t>
  </si>
  <si>
    <t xml:space="preserve">Online/in-person</t>
  </si>
  <si>
    <t xml:space="preserve">12-20 weeks</t>
  </si>
  <si>
    <t xml:space="preserve">Multi-track: dev, data, design</t>
  </si>
  <si>
    <t xml:space="preserve">  Ark-X Academy</t>
  </si>
  <si>
    <t xml:space="preserve">Full-time JobinTech</t>
  </si>
  <si>
    <t xml:space="preserve">20 weeks</t>
  </si>
  <si>
    <t xml:space="preserve">FREE</t>
  </si>
  <si>
    <t xml:space="preserve">Sponsored</t>
  </si>
  <si>
    <t xml:space="preserve">Limited to 20-27y/o Moroccan nationals</t>
  </si>
  <si>
    <t xml:space="preserve">  1337 (UM6P)</t>
  </si>
  <si>
    <t xml:space="preserve">Peer learning</t>
  </si>
  <si>
    <t xml:space="preserve">Multi-year</t>
  </si>
  <si>
    <t xml:space="preserve">Project-based, no instructors</t>
  </si>
  <si>
    <t xml:space="preserve">  Developers.Institute</t>
  </si>
  <si>
    <t xml:space="preserve">Full-stack</t>
  </si>
  <si>
    <t xml:space="preserve">12 weeks</t>
  </si>
  <si>
    <t xml:space="preserve">Web dev focus</t>
  </si>
  <si>
    <t xml:space="preserve">  Play &amp; Code Academy</t>
  </si>
  <si>
    <t xml:space="preserve">Robotics/coding</t>
  </si>
  <si>
    <t xml:space="preserve">Recurring</t>
  </si>
  <si>
    <t xml:space="preserve">Kids-focused — overlaps Pixoul demo</t>
  </si>
  <si>
    <t xml:space="preserve">  Pixoul Academy (us)</t>
  </si>
  <si>
    <t xml:space="preserve">Multi-track recurring</t>
  </si>
  <si>
    <t xml:space="preserve">Continuous</t>
  </si>
  <si>
    <t xml:space="preserve">$95-150/mo</t>
  </si>
  <si>
    <t xml:space="preserve">Subscription</t>
  </si>
  <si>
    <t xml:space="preserve">BLENDED: tech + coworking + corp + incubation</t>
  </si>
  <si>
    <t xml:space="preserve">◆  SOURCES  KEY  &amp;  METHODOLOGY</t>
  </si>
  <si>
    <t xml:space="preserve">Web-sourced live (April 2026):</t>
  </si>
  <si>
    <t xml:space="preserve">  • Le Wagon Casa: lewagon.com/casablanca — pricing tiers, deposit requirements</t>
  </si>
  <si>
    <t xml:space="preserve">  • Course Report: coursereport.com/cities/casablanca — Casa bootcamp landscape</t>
  </si>
  <si>
    <t xml:space="preserve">  • Africa Tech Schools: africatechschools.com/city/casablanca — comp set</t>
  </si>
  <si>
    <t xml:space="preserve">  • Regus Morocco: regus.com/morocco/casablanca — coworking pricing 1,450-3,050 MAD/mo</t>
  </si>
  <si>
    <t xml:space="preserve">  • Workin.space Casa: 720-1,450 MAD/mo for desks (49 spaces in Casa)</t>
  </si>
  <si>
    <t xml:space="preserve">  • KoWork / Onomo Massira: 1,500-2,500 MAD typical hot-desk Casa</t>
  </si>
  <si>
    <t xml:space="preserve">  • Office Hub: 3,484 MAD/mo (~$348) — premium dedicated desk</t>
  </si>
  <si>
    <t xml:space="preserve">  • Sanabil 500 MENA: $35K/startup — premium accelerator outlier</t>
  </si>
  <si>
    <t xml:space="preserve">  • 212Founders / Google MENA / Visa Africa: equity-free model dominant</t>
  </si>
  <si>
    <t xml:space="preserve">  • Global Horizon Training: $5,950 / 5-day course Casa — intl B2B benchmark</t>
  </si>
  <si>
    <t xml:space="preserve">  • Pixoul UAE comparable data (existing operations)</t>
  </si>
  <si>
    <t xml:space="preserve">  • Casa pricing study (Dec 2025, internal)</t>
  </si>
  <si>
    <t xml:space="preserve">  • Pixoul model: 03_A_1_Drivers (live-linked)</t>
  </si>
  <si>
    <t xml:space="preserve">Methodology: All Casa/MENA price points sourced from public providers via web search Apr 2026. Pixoul figures are LIVE-LINKED to 03_A_1_Drivers — change BASE inputs there to see updated comparison.</t>
  </si>
  <si>
    <t xml:space="preserve">    Master Integration · Academy</t>
  </si>
  <si>
    <t xml:space="preserve">    Cross-pillar references and master cell map</t>
  </si>
  <si>
    <t xml:space="preserve">◆  KEY  EXPORT  CELLS  (link these to Master Model)</t>
  </si>
  <si>
    <t xml:space="preserve">'2·Master Revenue'!D9</t>
  </si>
  <si>
    <t xml:space="preserve">Y4 Mature revenue (Base case)</t>
  </si>
  <si>
    <t xml:space="preserve">'3·Master Cost'!I9</t>
  </si>
  <si>
    <t xml:space="preserve">Y4 EBITDA / Gross Contribution</t>
  </si>
  <si>
    <t xml:space="preserve">'2·Master Revenue'!F9</t>
  </si>
  <si>
    <t xml:space="preserve">'2·Master Revenue'!G9</t>
  </si>
  <si>
    <t xml:space="preserve">Y2 Revenue</t>
  </si>
  <si>
    <t xml:space="preserve">'2·Master Revenue'!H9</t>
  </si>
  <si>
    <t xml:space="preserve">Y3 Revenue (mature)</t>
  </si>
  <si>
    <t xml:space="preserve">'2·Master Revenue'!I9</t>
  </si>
  <si>
    <t xml:space="preserve">'2·Master Revenue'!J9</t>
  </si>
  <si>
    <t xml:space="preserve">Y5 Revenue</t>
  </si>
  <si>
    <t xml:space="preserve">  • Borderless (09): Academy alumni → Talent Agency placement pipeline.
  • Gaming Hall (01): Gaming visitors → Academy enrollment leads (5% conversion).
  • F&amp;B (07): Daily Academy presence → cafeteria covers.
  • Sponsorships (08): Corporate B2B clients → cross-sell opportunities.</t>
  </si>
  <si>
    <t xml:space="preserve">ℹ  USAGE  NOTE</t>
  </si>
  <si>
    <t xml:space="preserve">  This sheet documents how this pillar EXPORTS values to the Master Model.
  When auditing, use this as a roadmap: each Master cell is sourced from a specific pillar cell.
  Live formulas in column C show CURRENT VALUES — they should match what's in the Master.</t>
  </si>
  <si>
    <t xml:space="preserve">  Academy · Weekly Schedule</t>
  </si>
  <si>
    <t xml:space="preserve">  Operational delivery grid · Tied to Drivers · Capacity-validated</t>
  </si>
  <si>
    <t xml:space="preserve">◆  WEEKLY  SCHEDULE  GRID  (Mon–Sun, 6 time slots)</t>
  </si>
  <si>
    <t xml:space="preserve">Time</t>
  </si>
  <si>
    <t xml:space="preserve">09:00-11:00</t>
  </si>
  <si>
    <t xml:space="preserve">Coworking
(open access)</t>
  </si>
  <si>
    <t xml:space="preserve">Corp Training
12 students
Lead Instructor
Medium 1</t>
  </si>
  <si>
    <t xml:space="preserve">Corp Training
10 students
Lead Instructor
Medium 1</t>
  </si>
  <si>
    <t xml:space="preserve">Kids Code Lab
16 students
Junior Inst. A
Robotics Lab</t>
  </si>
  <si>
    <t xml:space="preserve">11:00-13:00</t>
  </si>
  <si>
    <t xml:space="preserve">Podcast Production
8 students
Junior Inst. C
Media Studio</t>
  </si>
  <si>
    <t xml:space="preserve">Corp Training
10 students
Lead Instructor
Medium 2</t>
  </si>
  <si>
    <t xml:space="preserve">Kids Robotics
18 students
Junior Inst. B
Robotics Lab</t>
  </si>
  <si>
    <t xml:space="preserve">13:00-15:00</t>
  </si>
  <si>
    <t xml:space="preserve">Teens AI Workshop
20 students
Junior Inst. C
Medium 3</t>
  </si>
  <si>
    <t xml:space="preserve">15:00-17:00</t>
  </si>
  <si>
    <t xml:space="preserve">After-school Coding
22 students
Junior Inst. A
Medium 1</t>
  </si>
  <si>
    <t xml:space="preserve">After-school Game Dev
20 students
Junior Inst. B
Medium 2</t>
  </si>
  <si>
    <t xml:space="preserve">Teens Game Design
24 students
Junior Inst. D
Large 1</t>
  </si>
  <si>
    <t xml:space="preserve">17:00-19:00</t>
  </si>
  <si>
    <t xml:space="preserve">Adult Coding (Python)
24 students
Lead Instructor
Medium 3</t>
  </si>
  <si>
    <t xml:space="preserve">Adult Esports Mgmt
20 students
Junior Inst. C
Small 1</t>
  </si>
  <si>
    <t xml:space="preserve">Family Robotics
28 students
Junior Inst. D
Large 1</t>
  </si>
  <si>
    <t xml:space="preserve">19:00-21:00</t>
  </si>
  <si>
    <t xml:space="preserve">Science Lab Evening
14 students
Junior Inst. A
Science Lab</t>
  </si>
  <si>
    <t xml:space="preserve">Pro Lab (AI/ML)
12 students
Junior Inst. C
Simulation Lab</t>
  </si>
  <si>
    <t xml:space="preserve">Fabrication Lab Evening
10 students
Junior Inst. D
Fabrication Lab</t>
  </si>
  <si>
    <t xml:space="preserve">Music Production
6 students
Junior Inst. B
Music Lab</t>
  </si>
  <si>
    <t xml:space="preserve">◆  WEEKLY  OPERATIONAL  TOTALS  (live-validated against Drivers)</t>
  </si>
  <si>
    <t xml:space="preserve">This Schedule</t>
  </si>
  <si>
    <t xml:space="preserve">From Drivers</t>
  </si>
  <si>
    <t xml:space="preserve">  Total sessions / week</t>
  </si>
  <si>
    <t xml:space="preserve">  Total students / week (sum of seats filled)</t>
  </si>
  <si>
    <t xml:space="preserve">  Capacity utilization (student-sessions vs realistic ceiling)</t>
  </si>
  <si>
    <t xml:space="preserve">40-70% target</t>
  </si>
  <si>
    <t xml:space="preserve">  Room slot utilization (rooms used × time slots / 11×6×7)</t>
  </si>
  <si>
    <t xml:space="preserve">5-15% typical</t>
  </si>
  <si>
    <t xml:space="preserve">✓ healthy room availability</t>
  </si>
  <si>
    <t xml:space="preserve">◆  INSTRUCTOR  LOAD  TABLE  (sessions per instructor per week)</t>
  </si>
  <si>
    <t xml:space="preserve">Instructor</t>
  </si>
  <si>
    <t xml:space="preserve">Sessions/wk</t>
  </si>
  <si>
    <t xml:space="preserve">Students/wk</t>
  </si>
  <si>
    <t xml:space="preserve">Hours/wk</t>
  </si>
  <si>
    <t xml:space="preserve">Load %</t>
  </si>
  <si>
    <t xml:space="preserve">  Junior Inst. A</t>
  </si>
  <si>
    <t xml:space="preserve">✓ light</t>
  </si>
  <si>
    <t xml:space="preserve">  Junior Inst. B</t>
  </si>
  <si>
    <t xml:space="preserve">  Junior Inst. C</t>
  </si>
  <si>
    <t xml:space="preserve">  Junior Inst. D</t>
  </si>
  <si>
    <t xml:space="preserve">  Lead Instructor</t>
  </si>
  <si>
    <t xml:space="preserve">◆  ROOM  UTILIZATION  TABLE  (hours used / hours available)</t>
  </si>
  <si>
    <t xml:space="preserve">Room</t>
  </si>
  <si>
    <t xml:space="preserve">Hours used/wk</t>
  </si>
  <si>
    <t xml:space="preserve">Hours available/wk</t>
  </si>
  <si>
    <t xml:space="preserve">  Large 1 (90 seats)</t>
  </si>
  <si>
    <t xml:space="preserve">  Large 2 (90 seats)</t>
  </si>
  <si>
    <t xml:space="preserve">○ unused</t>
  </si>
  <si>
    <t xml:space="preserve">  Medium classrooms (3 rooms, 135 seats)</t>
  </si>
  <si>
    <t xml:space="preserve">✓ active</t>
  </si>
  <si>
    <t xml:space="preserve">  Small classrooms (3 rooms, 75 seats)</t>
  </si>
  <si>
    <t xml:space="preserve">  Science Lab (24 seats)</t>
  </si>
  <si>
    <t xml:space="preserve">  Media Studio (12 seats)</t>
  </si>
  <si>
    <t xml:space="preserve">  Music Lab (8 seats)</t>
  </si>
  <si>
    <t xml:space="preserve">  Fabrication Lab (16 seats)</t>
  </si>
  <si>
    <t xml:space="preserve">  Robotics Lab (20 seats)</t>
  </si>
  <si>
    <t xml:space="preserve">  Simulation Lab (12 seats)</t>
  </si>
  <si>
    <t xml:space="preserve">  Coworking — Open desks (30)</t>
  </si>
  <si>
    <t xml:space="preserve">open access</t>
  </si>
  <si>
    <t xml:space="preserve">  Coworking — Pods (8)</t>
  </si>
  <si>
    <t xml:space="preserve">  Meeting Rooms (3 rooms, 38 seats)</t>
  </si>
  <si>
    <t xml:space="preserve">  PORTFOLIO AVERAGE</t>
  </si>
  <si>
    <t xml:space="preserve">◆  OPERATIONAL  NOTES  &amp;  RECONCILIATION</t>
  </si>
  <si>
    <t xml:space="preserve">Schedule shows 19 live sessions/week serving 354 student-attendances. Friday afternoons closed for prayer/cultural breaks. Sundays closed (Morocco norm). Saturdays peak for kids/teens programs (parents attend). Weekday evenings (17-21) reserved for working-adult learners. Weekday mornings (9-13) for B2B Corporate Training (Tue/Wed/Thu/Fri).</t>
  </si>
  <si>
    <t xml:space="preserve">KEY OBSERVATIONS: (1) Lead Instructor handles ALL 4 Corporate Training slots Tue-Fri morning + Adult Coding evenings — high load (~60-70%). (2) Junior Inst. C wears 3 hats: Adult Esports, Pro Lab AI/ML, Teens AI Workshop — needs cross-training. (3) Lab rooms underutilized (~5-8% — capacity available for additional Lab Programs in summer). (4) Weekend coverage: only Sat used (Family Robotics + 4 morning programs) — Sun fully off justifies Mon-Sat operating model.</t>
  </si>
  <si>
    <t xml:space="preserve">⊙ OPERATIONAL HEADROOM: Schedule shows 23 sessions/wk vs Drivers conservative 18 — a 28% buffer. INTENTIONAL: Drivers represents revenue-conservative baseline; Schedule represents what staff CAN deliver. The variance signals operational capacity to absorb upside without hiring.</t>
  </si>
  <si>
    <t xml:space="preserve">  Esports · SUMMARY Dashboard</t>
  </si>
  <si>
    <t xml:space="preserve">  Walk-in (hourly)</t>
  </si>
  <si>
    <t xml:space="preserve">  Membership subscriptions</t>
  </si>
  <si>
    <t xml:space="preserve">  Member play time</t>
  </si>
  <si>
    <t xml:space="preserve">  Tournaments (entry fees)</t>
  </si>
  <si>
    <t xml:space="preserve">  Online Tournaments</t>
  </si>
  <si>
    <t xml:space="preserve">Esports % of Total</t>
  </si>
  <si>
    <t xml:space="preserve">Casa's premium esports lounge: walk-in + membership recurring + tournament IP. ⚠ 16 public gaming centres opening Casa — defensibility via premium positioning + tournament brand.</t>
  </si>
  <si>
    <t xml:space="preserve">  Drivers · Capacity · Pricing Engines</t>
  </si>
  <si>
    <t xml:space="preserve">  Edit BASE column to change defaults · Member hrs subtract from walk-in (no double count)</t>
  </si>
  <si>
    <t xml:space="preserve">  PC count (stations)</t>
  </si>
  <si>
    <t xml:space="preserve">Same fleet across scenarios</t>
  </si>
  <si>
    <t xml:space="preserve">  Hours per day open</t>
  </si>
  <si>
    <t xml:space="preserve">Operating hours</t>
  </si>
  <si>
    <t xml:space="preserve">  Days per month operating</t>
  </si>
  <si>
    <t xml:space="preserve">Open year-round</t>
  </si>
  <si>
    <t xml:space="preserve">  Utilization % (of sellable hours)</t>
  </si>
  <si>
    <t xml:space="preserve">⚠ Toufic Y1-Bear=8% · Y2-Base=15% · Y3-Bull=35%</t>
  </si>
  <si>
    <t xml:space="preserve">  Standard price ($/hr)</t>
  </si>
  <si>
    <t xml:space="preserve">Off-peak / standard PCs</t>
  </si>
  <si>
    <t xml:space="preserve">  Premium price ($/hr)</t>
  </si>
  <si>
    <t xml:space="preserve">Premium PCs / peak hours</t>
  </si>
  <si>
    <t xml:space="preserve">  Premium mix %</t>
  </si>
  <si>
    <t xml:space="preserve">% of walk-in time at premium price</t>
  </si>
  <si>
    <t xml:space="preserve">  Active memberships</t>
  </si>
  <si>
    <t xml:space="preserve">⚠ Scaled to fit 15% util cap</t>
  </si>
  <si>
    <t xml:space="preserve">  Membership fee ($/mo)</t>
  </si>
  <si>
    <t xml:space="preserve">Monthly subscription</t>
  </si>
  <si>
    <t xml:space="preserve">  Member hours/month (avg)</t>
  </si>
  <si>
    <t xml:space="preserve">Avg hours per member per month</t>
  </si>
  <si>
    <t xml:space="preserve">  Member discount % vs std</t>
  </si>
  <si>
    <t xml:space="preserve">Discount on hourly rate for members</t>
  </si>
  <si>
    <t xml:space="preserve">  Tournaments per month</t>
  </si>
  <si>
    <t xml:space="preserve">Casual + competitive events</t>
  </si>
  <si>
    <t xml:space="preserve">  Avg entrants per tournament</t>
  </si>
  <si>
    <t xml:space="preserve">Players per event</t>
  </si>
  <si>
    <t xml:space="preserve">  Tournament entry fee ($)</t>
  </si>
  <si>
    <t xml:space="preserve">Per player</t>
  </si>
  <si>
    <t xml:space="preserve">  Avg F&amp;B spend per hour ($)</t>
  </si>
  <si>
    <t xml:space="preserve">→ Cross-pillar to F&amp;B (NOT booked here)</t>
  </si>
  <si>
    <t xml:space="preserve">◆  ACTIVE  SCENARIO  OUTPUTS  (toggle-wired)</t>
  </si>
  <si>
    <t xml:space="preserve">  Active PC count</t>
  </si>
  <si>
    <t xml:space="preserve">  Active hours/day</t>
  </si>
  <si>
    <t xml:space="preserve">  Active std price/hr</t>
  </si>
  <si>
    <t xml:space="preserve">→ Walk-in revenue</t>
  </si>
  <si>
    <t xml:space="preserve">  Active premium price/hr</t>
  </si>
  <si>
    <t xml:space="preserve">  Active premium mix %</t>
  </si>
  <si>
    <t xml:space="preserve">→ Blended walk-in price</t>
  </si>
  <si>
    <t xml:space="preserve">→ Member hours, membership revenue</t>
  </si>
  <si>
    <t xml:space="preserve">  Active membership fee</t>
  </si>
  <si>
    <t xml:space="preserve">→ Membership revenue</t>
  </si>
  <si>
    <t xml:space="preserve">  Active member hours/mo</t>
  </si>
  <si>
    <t xml:space="preserve">→ Member hours allocation</t>
  </si>
  <si>
    <t xml:space="preserve">  Active member discount %</t>
  </si>
  <si>
    <t xml:space="preserve">→ Member effective price</t>
  </si>
  <si>
    <t xml:space="preserve">  Active tournaments/mo</t>
  </si>
  <si>
    <t xml:space="preserve">→ Tournament revenue</t>
  </si>
  <si>
    <t xml:space="preserve">  Active entrants/tournament</t>
  </si>
  <si>
    <t xml:space="preserve">  Active entry fee</t>
  </si>
  <si>
    <t xml:space="preserve">  Active F&amp;B spend/hr</t>
  </si>
  <si>
    <t xml:space="preserve">→ Cross-pillar F&amp;B</t>
  </si>
  <si>
    <t xml:space="preserve">◆  CAPACITY  ENGINE  (no double count — member hours subtract from walk-in)</t>
  </si>
  <si>
    <t xml:space="preserve">  Total sellable hours / month</t>
  </si>
  <si>
    <t xml:space="preserve">PCs × hours/day × days/month</t>
  </si>
  <si>
    <t xml:space="preserve">  Utilized hours / month</t>
  </si>
  <si>
    <t xml:space="preserve">Sellable × utilization %</t>
  </si>
  <si>
    <t xml:space="preserve">  Member hours / month</t>
  </si>
  <si>
    <t xml:space="preserve">Memberships × member hours/mo</t>
  </si>
  <si>
    <t xml:space="preserve">  Walk-in hours / month</t>
  </si>
  <si>
    <t xml:space="preserve">MAX(0, utilized - member) — prevents double count</t>
  </si>
  <si>
    <t xml:space="preserve">  ⓘ Capacity check</t>
  </si>
  <si>
    <t xml:space="preserve">◆  PRICING  ENGINE</t>
  </si>
  <si>
    <t xml:space="preserve">  Blended walk-in price ($/hr)</t>
  </si>
  <si>
    <t xml:space="preserve">Premium mix × premium price + (1-mix) × std price</t>
  </si>
  <si>
    <t xml:space="preserve">  Member effective price ($/hr)</t>
  </si>
  <si>
    <t xml:space="preserve">Std price × (1 - member discount %)</t>
  </si>
  <si>
    <t xml:space="preserve">◆  CROSS-PILLAR  REFERENCE  (flows to F&amp;B pillar — NOT booked here)</t>
  </si>
  <si>
    <t xml:space="preserve">  F&amp;B revenue from Esports gamers (annual) →</t>
  </si>
  <si>
    <t xml:space="preserve">All utilized hours × spend/hr × 12 months</t>
  </si>
  <si>
    <t xml:space="preserve">    Lounge manager (1 FTE, annual)</t>
  </si>
  <si>
    <t xml:space="preserve">1 senior FTE — Casa rate fully loaded</t>
  </si>
  <si>
    <t xml:space="preserve">    Floor staff (4 FTE, annual)</t>
  </si>
  <si>
    <t xml:space="preserve">4 × $1,200/mo × 12 (entry-level Casa rate) — uplifted from 2 to 4 FTE for 60-PC supervision</t>
  </si>
  <si>
    <t xml:space="preserve">    Internet (high bandwidth, annual)</t>
  </si>
  <si>
    <t xml:space="preserve">Fiber + redundancy for esports</t>
  </si>
  <si>
    <t xml:space="preserve">    Software/game licenses (annual)</t>
  </si>
  <si>
    <t xml:space="preserve">60 PCs × game accounts + management software</t>
  </si>
  <si>
    <t xml:space="preserve">    Insurance (annual)</t>
  </si>
  <si>
    <t xml:space="preserve">Equipment + liability</t>
  </si>
  <si>
    <t xml:space="preserve">  HARDWARE DEPRECIATION (treated as fixed)</t>
  </si>
  <si>
    <t xml:space="preserve">    PC unit cost ($)</t>
  </si>
  <si>
    <t xml:space="preserve">Mid-spec gaming PC + peripherals (Casa import)</t>
  </si>
  <si>
    <t xml:space="preserve">    Useful life (years)</t>
  </si>
  <si>
    <t xml:space="preserve">Industry standard for gaming hardware</t>
  </si>
  <si>
    <t xml:space="preserve">    Annual depreciation</t>
  </si>
  <si>
    <t xml:space="preserve">PCs × cost / life</t>
  </si>
  <si>
    <t xml:space="preserve">  VARIABLE costs (per utilized hour)</t>
  </si>
  <si>
    <t xml:space="preserve">    Electricity per PC-hour</t>
  </si>
  <si>
    <t xml:space="preserve">60 PCs ~300W avg + cooling</t>
  </si>
  <si>
    <t xml:space="preserve">    Payment processing fee (% of revenue)</t>
  </si>
  <si>
    <t xml:space="preserve">Card processing on walk-in + memberships</t>
  </si>
  <si>
    <t xml:space="preserve">    Maintenance per utilized hour</t>
  </si>
  <si>
    <t xml:space="preserve">Wear-related repairs scale with usage</t>
  </si>
  <si>
    <t xml:space="preserve">  PER-TOURNAMENT costs</t>
  </si>
  <si>
    <t xml:space="preserve">    Prize pool cost (% of entry fees)</t>
  </si>
  <si>
    <t xml:space="preserve">50% of entry fees back as prizes</t>
  </si>
  <si>
    <t xml:space="preserve">    Tournament admin cost per event</t>
  </si>
  <si>
    <t xml:space="preserve">Casting, ops, refs</t>
  </si>
  <si>
    <t xml:space="preserve">◆  ONLINE  TOURNAMENTS  (additional revenue stream — Twitch/YouTube reach)</t>
  </si>
  <si>
    <t xml:space="preserve">  Online tournaments per month</t>
  </si>
  <si>
    <t xml:space="preserve">Online qualifiers — Casa + MENA reach</t>
  </si>
  <si>
    <t xml:space="preserve">  Avg online entrants per tournament</t>
  </si>
  <si>
    <t xml:space="preserve">Much higher than in-person — global digital</t>
  </si>
  <si>
    <t xml:space="preserve">  Online tournament entry fee ($)</t>
  </si>
  <si>
    <t xml:space="preserve">Lower than in-person $7</t>
  </si>
  <si>
    <t xml:space="preserve">  Sponsor revenue per online tournament ($)</t>
  </si>
  <si>
    <t xml:space="preserve">Brand sponsor per tournament</t>
  </si>
  <si>
    <t xml:space="preserve">  Online prize pool % of entry fees</t>
  </si>
  <si>
    <t xml:space="preserve">Same as in-person 50%</t>
  </si>
  <si>
    <t xml:space="preserve">  Sponsor money to prize pool %</t>
  </si>
  <si>
    <t xml:space="preserve">Sponsor money mostly goes to prizes</t>
  </si>
  <si>
    <t xml:space="preserve">  Online tournament admin cost per event ($)</t>
  </si>
  <si>
    <t xml:space="preserve">Lower admin cost — digital</t>
  </si>
  <si>
    <t xml:space="preserve">◆  ONLINE  TOURNAMENTS  —  ACTIVE  OUTPUTS</t>
  </si>
  <si>
    <t xml:space="preserve">  Active online tournaments/mo</t>
  </si>
  <si>
    <t xml:space="preserve">→ Online tournament revenue</t>
  </si>
  <si>
    <t xml:space="preserve">  Active online entrants/tournament</t>
  </si>
  <si>
    <t xml:space="preserve">  Active online entry fee</t>
  </si>
  <si>
    <t xml:space="preserve">  Active sponsor revenue per online tourn</t>
  </si>
  <si>
    <t xml:space="preserve">  Active online tourn admin cost</t>
  </si>
  <si>
    <t xml:space="preserve">→ Cost line</t>
  </si>
  <si>
    <t xml:space="preserve">  Online entry fee revenue (annual)</t>
  </si>
  <si>
    <t xml:space="preserve">Tournaments × entrants × fee × 12</t>
  </si>
  <si>
    <t xml:space="preserve">  Online sponsor revenue (annual)</t>
  </si>
  <si>
    <t xml:space="preserve">Tournaments × sponsor revenue × 12</t>
  </si>
  <si>
    <t xml:space="preserve">  ONLINE TOURNAMENTS — TOTAL ANNUAL REVENUE</t>
  </si>
  <si>
    <t xml:space="preserve">Entry fees + sponsor revenue</t>
  </si>
  <si>
    <t xml:space="preserve">  Online prize pool cost (entry fees portion)</t>
  </si>
  <si>
    <t xml:space="preserve">50% of entry fees → prizes</t>
  </si>
  <si>
    <t xml:space="preserve">  Online prize pool cost (sponsor portion)</t>
  </si>
  <si>
    <t xml:space="preserve">60% of sponsor revenue → prizes</t>
  </si>
  <si>
    <t xml:space="preserve">  Online tournament admin cost (annual)</t>
  </si>
  <si>
    <t xml:space="preserve">Tournaments × admin cost × 12</t>
  </si>
  <si>
    <t xml:space="preserve">  ONLINE TOURNAMENTS — TOTAL ANNUAL COSTS</t>
  </si>
  <si>
    <t xml:space="preserve">Prize pool + admin</t>
  </si>
  <si>
    <t xml:space="preserve">  Assumption Register · Esports Lounge</t>
  </si>
  <si>
    <t xml:space="preserve">  32 assumptions · Sourced · Confidence pre-classified · Sensitivity quantified · PENDING REVIEW until Toufic confirms</t>
  </si>
  <si>
    <t xml:space="preserve">⚠  CONFIDENCE = my pre-class (HIGH/MED/LOW); please review and override. SENSITIVITY = revenue impact at ±20%. ⚠ MAJOR EXTERNAL RISK: 16 public gaming centres opening in Casa (Feb 2026).</t>
  </si>
  <si>
    <t xml:space="preserve">◆  CAPACITY  &amp;  INFRASTRUCTURE</t>
  </si>
  <si>
    <t xml:space="preserve">Floor plan + CapEx</t>
  </si>
  <si>
    <t xml:space="preserve">60 PCs — mid-tier vs MGE 80-120; physical ceiling</t>
  </si>
  <si>
    <t xml:space="preserve">  Operating hours/day</t>
  </si>
  <si>
    <t xml:space="preserve">Standard esports lounge hours</t>
  </si>
  <si>
    <t xml:space="preserve">12hr Base; MGE 14.5hr; could extend if demand justifies</t>
  </si>
  <si>
    <t xml:space="preserve">  Operating days/month</t>
  </si>
  <si>
    <t xml:space="preserve">Year-round operation</t>
  </si>
  <si>
    <t xml:space="preserve">30 days — open daily; minor closures negligible</t>
  </si>
  <si>
    <t xml:space="preserve">⚠ Casa esports market untested</t>
  </si>
  <si>
    <t xml:space="preserve">⚠ 30% Base AGGRESSIVE for premium tier; UAE comp thin; competitive threat from public centres</t>
  </si>
  <si>
    <t xml:space="preserve">◆  PRICING  —  WALK-IN  HOURLY</t>
  </si>
  <si>
    <t xml:space="preserve">  Standard PC hourly rate</t>
  </si>
  <si>
    <t xml:space="preserve">Casa pricing study (E-Blue 250 MAD/day comp)</t>
  </si>
  <si>
    <t xml:space="preserve">$5.25/hr — 2-3x E-Blue daily-equivalent; premium positioning</t>
  </si>
  <si>
    <t xml:space="preserve">  Premium PC hourly rate</t>
  </si>
  <si>
    <t xml:space="preserve">Casa premium tier benchmark</t>
  </si>
  <si>
    <t xml:space="preserve">$8.50/hr — VIP zone ~1.6x standard (industry 1.5-2x norm)</t>
  </si>
  <si>
    <t xml:space="preserve">⚠ 45% Base AGGRESSIVE — E-Blue actual is 24% (10/42 PCs)</t>
  </si>
  <si>
    <t xml:space="preserve">  BLENDED walk-in price (computed)</t>
  </si>
  <si>
    <t xml:space="preserve">Computed: 45% × $8.50 + 55% × $5.25</t>
  </si>
  <si>
    <t xml:space="preserve">$6.71 effective per walk-in hour — VERY sensitive to mix %</t>
  </si>
  <si>
    <t xml:space="preserve">◆  MEMBERSHIP  PROGRAM</t>
  </si>
  <si>
    <t xml:space="preserve">Subscription target</t>
  </si>
  <si>
    <t xml:space="preserve">⚠ 140 members UNVALIDATED at Casa scale; subs market thin</t>
  </si>
  <si>
    <t xml:space="preserve">  Membership monthly fee</t>
  </si>
  <si>
    <t xml:space="preserve">Casa subscription pricing (US benchmark $149)</t>
  </si>
  <si>
    <t xml:space="preserve">$30/mo Base — entry-level vs US $149/mo benchmark</t>
  </si>
  <si>
    <t xml:space="preserve">20hr/mo — moderate engagement; high engagement = 40+</t>
  </si>
  <si>
    <t xml:space="preserve">Standard subscription incentive</t>
  </si>
  <si>
    <t xml:space="preserve">25% off standard hourly — reasonable retention incentive</t>
  </si>
  <si>
    <t xml:space="preserve">◆  IN-PERSON  TOURNAMENTS</t>
  </si>
  <si>
    <t xml:space="preserve">12/mo Base = 4 major + 8 minor; reasonable cadence</t>
  </si>
  <si>
    <t xml:space="preserve">Casa amateur scene size</t>
  </si>
  <si>
    <t xml:space="preserve">42 entrants — Casa esports scene growing; verifiable via Discord</t>
  </si>
  <si>
    <t xml:space="preserve">  Tournament entry fee</t>
  </si>
  <si>
    <t xml:space="preserve">Casa amateur tournament pricing</t>
  </si>
  <si>
    <t xml:space="preserve">$7/player — Casa standard amateur pricing</t>
  </si>
  <si>
    <t xml:space="preserve">  Prize pool % of entry fees</t>
  </si>
  <si>
    <t xml:space="preserve">50% — industry norm; lower pool = lower attendance</t>
  </si>
  <si>
    <t xml:space="preserve">  Tournament admin cost per event</t>
  </si>
  <si>
    <t xml:space="preserve">Casting + ops + refs estimate</t>
  </si>
  <si>
    <t xml:space="preserve">$100/event — reasonable for amateur tier</t>
  </si>
  <si>
    <t xml:space="preserve">◆  ONLINE  TOURNAMENTS  (UPSIDE  STREAM)</t>
  </si>
  <si>
    <t xml:space="preserve">Online platform target</t>
  </si>
  <si>
    <t xml:space="preserve">⚠ 4/mo Base UNVALIDATED; depends on platform/marketing</t>
  </si>
  <si>
    <t xml:space="preserve">MENA online digital reach</t>
  </si>
  <si>
    <t xml:space="preserve">⚠ 400 entrants Base UNVALIDATED; could be 100-1000 range</t>
  </si>
  <si>
    <t xml:space="preserve">  Online entry fee</t>
  </si>
  <si>
    <t xml:space="preserve">Lower than in-person</t>
  </si>
  <si>
    <t xml:space="preserve">$5/player — lower friction online</t>
  </si>
  <si>
    <t xml:space="preserve">  Sponsor revenue per online tournament</t>
  </si>
  <si>
    <t xml:space="preserve">Brand sponsor pricing</t>
  </si>
  <si>
    <t xml:space="preserve">⚠ $500 Base UNVALIDATED; E-Blue × Monster is real comp but price not public</t>
  </si>
  <si>
    <t xml:space="preserve">  Lounge manager (1 FTE annual)</t>
  </si>
  <si>
    <t xml:space="preserve">$24K = ~240K MAD/yr loaded</t>
  </si>
  <si>
    <t xml:space="preserve">  Floor staff (2 FTE annual)</t>
  </si>
  <si>
    <t xml:space="preserve">Casa entry-level FTE rate</t>
  </si>
  <si>
    <t xml:space="preserve">$28.8K = 2 × $1,200/mo × 12; verify Casa wage data</t>
  </si>
  <si>
    <t xml:space="preserve">Pixoul venue allocation key</t>
  </si>
  <si>
    <t xml:space="preserve">$24K — verify allocation key consistent across pillars</t>
  </si>
  <si>
    <t xml:space="preserve">  Internet (high bandwidth)</t>
  </si>
  <si>
    <t xml:space="preserve">Fiber + redundancy estimate</t>
  </si>
  <si>
    <t xml:space="preserve">$6K/yr — competitive (MGE has 7 fiber lines)</t>
  </si>
  <si>
    <t xml:space="preserve">  Software/game licenses</t>
  </si>
  <si>
    <t xml:space="preserve">60 PCs × game accounts + mgmt SW</t>
  </si>
  <si>
    <t xml:space="preserve">$9.6K/yr — Steam/Epic/cafe-mgmt licenses</t>
  </si>
  <si>
    <t xml:space="preserve">  PC unit cost (CapEx)</t>
  </si>
  <si>
    <t xml:space="preserve">Industry benchmark $2K-3.5K high-end</t>
  </si>
  <si>
    <t xml:space="preserve">$1,750/PC — MID-SPEC; verify against E-Blue VIP RTX 3080 spec</t>
  </si>
  <si>
    <t xml:space="preserve">  Hardware useful life (years)</t>
  </si>
  <si>
    <t xml:space="preserve">Industry standard 2-3yr refresh</t>
  </si>
  <si>
    <t xml:space="preserve">3 years — at boundary; gaming hardware obsoletes fast</t>
  </si>
  <si>
    <t xml:space="preserve">  Hardware annual depreciation (computed)</t>
  </si>
  <si>
    <t xml:space="preserve">Computed: 60 × $1,750 / 3 = $35K/yr</t>
  </si>
  <si>
    <t xml:space="preserve">  Electricity per PC-hour</t>
  </si>
  <si>
    <t xml:space="preserve">60 PCs ~300W + cooling</t>
  </si>
  <si>
    <t xml:space="preserve">$0.20/PC-hr; energy-intensive operation</t>
  </si>
  <si>
    <t xml:space="preserve">  Maintenance per utilized hour</t>
  </si>
  <si>
    <t xml:space="preserve">Wear-related repairs estimate</t>
  </si>
  <si>
    <t xml:space="preserve">$0.15/hr usage-scaled; verify against actual</t>
  </si>
  <si>
    <t xml:space="preserve">  Receivables days</t>
  </si>
  <si>
    <t xml:space="preserve">Walk-in cash, tournament sponsors net-30 (small)</t>
  </si>
  <si>
    <t xml:space="preserve">Standard Casa B2B vendor terms</t>
  </si>
  <si>
    <t xml:space="preserve">Hardware not inventory</t>
  </si>
  <si>
    <t xml:space="preserve">Minimal — peripherals + minor consumables</t>
  </si>
  <si>
    <t xml:space="preserve">Higher than FEC norm — gaming HW obsoletes faster</t>
  </si>
  <si>
    <t xml:space="preserve">4% — above generic 2-3% to fund refresh cycle</t>
  </si>
  <si>
    <t xml:space="preserve">◆  CROSS-PILLAR  REFERENCES  (info only)</t>
  </si>
  <si>
    <t xml:space="preserve">  Avg F&amp;B spend per gamer-hour</t>
  </si>
  <si>
    <t xml:space="preserve">$1.50/hr — books in Pillar 07 F&amp;B (NOT here)</t>
  </si>
  <si>
    <t xml:space="preserve">  F&amp;B revenue from Esports gamers (annual)</t>
  </si>
  <si>
    <t xml:space="preserve">Cross-pillar flow only</t>
  </si>
  <si>
    <t xml:space="preserve">~$117K — flows to F&amp;B, no double-count</t>
  </si>
  <si>
    <t xml:space="preserve">CONFIDENCE LEGEND: HIGH (green) = validated by Pixoul UAE actuals or external benchmark; MED (saffron) = industry comparable / reasonable inference; LOW (red) = estimate, requires validation before raise. SENSITIVITY: HIGH = ±20% moves Y4 EBITDA by &gt;$30K; MED = $10-30K; LOW = &lt;$10K. ⚠ MAJOR EXTERNAL RISK NOT IN ASSUMPTIONS: 16 public gaming centres opening across Casa (Feb 2026 7news.ma) will erode walk-in demand. Premium positioning + member stickiness + tournament IP become defensive moats.</t>
  </si>
  <si>
    <t xml:space="preserve">  Revenue Build · 3 Streams</t>
  </si>
  <si>
    <t xml:space="preserve">  Walk-in (blended) + Memberships + Tournaments · F&amp;B is cross-pillar</t>
  </si>
  <si>
    <t xml:space="preserve">◆  REVENUE  STREAMS  (3 streams · annual mature)</t>
  </si>
  <si>
    <t xml:space="preserve">  Walk-in (hourly play, blended)</t>
  </si>
  <si>
    <t xml:space="preserve">Walk-in hours × blended price × 12 months</t>
  </si>
  <si>
    <t xml:space="preserve">  Memberships — subscription fees</t>
  </si>
  <si>
    <t xml:space="preserve">Memberships × monthly fee × 12</t>
  </si>
  <si>
    <t xml:space="preserve">  Memberships — member play time</t>
  </si>
  <si>
    <t xml:space="preserve">Member hours × discounted price × 12 (separate from sub fee)</t>
  </si>
  <si>
    <t xml:space="preserve">Tournaments/mo × entrants × entry fee × 12</t>
  </si>
  <si>
    <t xml:space="preserve">  Online Tournaments (entry fees + sponsor revenue)</t>
  </si>
  <si>
    <t xml:space="preserve">  TOTAL ESPORTS LOUNGE REVENUE</t>
  </si>
  <si>
    <t xml:space="preserve">◆  REVENUE  MIX</t>
  </si>
  <si>
    <t xml:space="preserve">  Walk-in</t>
  </si>
  <si>
    <t xml:space="preserve">  Membership subs</t>
  </si>
  <si>
    <t xml:space="preserve">  Member play</t>
  </si>
  <si>
    <t xml:space="preserve">  Tournaments</t>
  </si>
  <si>
    <t xml:space="preserve">◆  CROSS-PILLAR  REVENUE  (NOT booked here — flows to F&amp;B Pillar 07)</t>
  </si>
  <si>
    <t xml:space="preserve">  F&amp;B revenue from Esports gamers</t>
  </si>
  <si>
    <t xml:space="preserve">→ Books in Pillar 07 F&amp;B (avoids double-count)</t>
  </si>
  <si>
    <t xml:space="preserve">  Total sellable hours/mo</t>
  </si>
  <si>
    <t xml:space="preserve">  Utilized hours/mo</t>
  </si>
  <si>
    <t xml:space="preserve">  Member hours/mo</t>
  </si>
  <si>
    <t xml:space="preserve">  Walk-in hours/mo</t>
  </si>
  <si>
    <t xml:space="preserve">  Capacity check</t>
  </si>
  <si>
    <t xml:space="preserve">  Direct Costs · F/V Classification + Depreciation</t>
  </si>
  <si>
    <t xml:space="preserve">  Line-by-line cost behavior · Hardware depreciation as fixed</t>
  </si>
  <si>
    <t xml:space="preserve">Per Hour</t>
  </si>
  <si>
    <t xml:space="preserve">  Lounge manager (1 FTE)</t>
  </si>
  <si>
    <t xml:space="preserve">  Floor staff (4 FTE)</t>
  </si>
  <si>
    <t xml:space="preserve">4 entry-level FTE</t>
  </si>
  <si>
    <t xml:space="preserve">Lounge area share</t>
  </si>
  <si>
    <t xml:space="preserve">Fiber + redundancy</t>
  </si>
  <si>
    <t xml:space="preserve">60 PCs × accounts</t>
  </si>
  <si>
    <t xml:space="preserve">  Insurance</t>
  </si>
  <si>
    <t xml:space="preserve">  Hardware depreciation</t>
  </si>
  <si>
    <t xml:space="preserve">PCs × cost / 3yr life</t>
  </si>
  <si>
    <t xml:space="preserve">  Electricity</t>
  </si>
  <si>
    <t xml:space="preserve">Per PC-hour × utilized hours × 12</t>
  </si>
  <si>
    <t xml:space="preserve">  Payment processing</t>
  </si>
  <si>
    <t xml:space="preserve">⚠ MOVED to Master Cost C50 ($84K centralized) | (was: % × processed revenue (excl tournaments))</t>
  </si>
  <si>
    <t xml:space="preserve">  Maintenance (usage-scaled)</t>
  </si>
  <si>
    <t xml:space="preserve">Per utilized hour, 70% variable</t>
  </si>
  <si>
    <t xml:space="preserve">  Tournament prize pool</t>
  </si>
  <si>
    <t xml:space="preserve">% of entry fees back as prizes</t>
  </si>
  <si>
    <t xml:space="preserve">  Tournament admin</t>
  </si>
  <si>
    <t xml:space="preserve">Per event × annual events</t>
  </si>
  <si>
    <t xml:space="preserve">  Online Tournaments (prizes + admin)</t>
  </si>
  <si>
    <t xml:space="preserve">Prize pool (50% entry + 60% sponsor) + admin</t>
  </si>
  <si>
    <t xml:space="preserve">    Eight-Year Projection · Esports Lounge</t>
  </si>
  <si>
    <t xml:space="preserve">    Profit &amp; Loss · Esports Lounge</t>
  </si>
  <si>
    <t xml:space="preserve">    Cash Flow Forecast · Esports Lounge</t>
  </si>
  <si>
    <t xml:space="preserve">  Unit Economics · Per PC, Per Hour, Per Member</t>
  </si>
  <si>
    <t xml:space="preserve">  Investor view: revenue per PC, per hour, EBITDA, contribution</t>
  </si>
  <si>
    <t xml:space="preserve">◆  PER-PC  ECONOMICS</t>
  </si>
  <si>
    <t xml:space="preserve">  Total PCs</t>
  </si>
  <si>
    <t xml:space="preserve">Fleet size</t>
  </si>
  <si>
    <t xml:space="preserve">  Annual revenue per PC</t>
  </si>
  <si>
    <t xml:space="preserve">Total ÷ PC count</t>
  </si>
  <si>
    <t xml:space="preserve">  Annual cost per PC</t>
  </si>
  <si>
    <t xml:space="preserve">Total costs ÷ PC count</t>
  </si>
  <si>
    <t xml:space="preserve">  Annual contribution per PC</t>
  </si>
  <si>
    <t xml:space="preserve">Revenue/PC - cost/PC</t>
  </si>
  <si>
    <t xml:space="preserve">◆  PER-HOUR  ECONOMICS</t>
  </si>
  <si>
    <t xml:space="preserve">  Total utilized hours/year</t>
  </si>
  <si>
    <t xml:space="preserve">Utilized × 12 months</t>
  </si>
  <si>
    <t xml:space="preserve">  Walk-in hours/year</t>
  </si>
  <si>
    <t xml:space="preserve">Walk-in × 12</t>
  </si>
  <si>
    <t xml:space="preserve">  Member hours/year</t>
  </si>
  <si>
    <t xml:space="preserve">Member × 12</t>
  </si>
  <si>
    <t xml:space="preserve">  Avg revenue per utilized hour</t>
  </si>
  <si>
    <t xml:space="preserve">Total revenue ÷ utilized hours</t>
  </si>
  <si>
    <t xml:space="preserve">  Direct cost per utilized hour</t>
  </si>
  <si>
    <t xml:space="preserve">Total costs ÷ utilized hours</t>
  </si>
  <si>
    <t xml:space="preserve">  Contribution per utilized hour</t>
  </si>
  <si>
    <t xml:space="preserve">Per-hour profit margin</t>
  </si>
  <si>
    <t xml:space="preserve">  Total sellable hours/year</t>
  </si>
  <si>
    <t xml:space="preserve">PCs × hrs × days × 12</t>
  </si>
  <si>
    <t xml:space="preserve">  Utilization %</t>
  </si>
  <si>
    <t xml:space="preserve">Active scenario</t>
  </si>
  <si>
    <t xml:space="preserve">  Capacity headroom (unused hours/yr)</t>
  </si>
  <si>
    <t xml:space="preserve">Sellable - utilized</t>
  </si>
  <si>
    <t xml:space="preserve">◆  MEMBERSHIP  ECONOMICS</t>
  </si>
  <si>
    <t xml:space="preserve">From scenario</t>
  </si>
  <si>
    <t xml:space="preserve">  Monthly fee per member</t>
  </si>
  <si>
    <t xml:space="preserve">  Annual subscription revenue per member</t>
  </si>
  <si>
    <t xml:space="preserve">Recurring sub fees only</t>
  </si>
  <si>
    <t xml:space="preserve">  Member play-time revenue per year</t>
  </si>
  <si>
    <t xml:space="preserve">Hourly play (discounted)</t>
  </si>
  <si>
    <t xml:space="preserve">  Total revenue per member (annual)</t>
  </si>
  <si>
    <t xml:space="preserve">Sub + play time</t>
  </si>
  <si>
    <t xml:space="preserve">All 3 streams + member play</t>
  </si>
  <si>
    <t xml:space="preserve">All cost lines + depreciation</t>
  </si>
  <si>
    <t xml:space="preserve">  Gross Contribution (EBITDA proxy)</t>
  </si>
  <si>
    <t xml:space="preserve">Premium lounges: 45-60%</t>
  </si>
  <si>
    <t xml:space="preserve">  Required hours / utilization to cover fixed costs · Margin of safety</t>
  </si>
  <si>
    <t xml:space="preserve">  Fixed costs (annual, incl depreciation)</t>
  </si>
  <si>
    <t xml:space="preserve">% revenue can drop before loss</t>
  </si>
  <si>
    <t xml:space="preserve">◆  BREAKEVEN  IN  HOURS  &amp;  UTILIZATION</t>
  </si>
  <si>
    <t xml:space="preserve">  Required utilized hours/year</t>
  </si>
  <si>
    <t xml:space="preserve">Hours needed to breakeven</t>
  </si>
  <si>
    <t xml:space="preserve">Max possible</t>
  </si>
  <si>
    <t xml:space="preserve">  Required utilization %</t>
  </si>
  <si>
    <t xml:space="preserve">Min util % to breakeven</t>
  </si>
  <si>
    <t xml:space="preserve">  Current utilization %</t>
  </si>
  <si>
    <t xml:space="preserve">Active scenario util</t>
  </si>
  <si>
    <t xml:space="preserve">  Util buffer (above breakeven)</t>
  </si>
  <si>
    <t xml:space="preserve">Cushion vs breakeven</t>
  </si>
  <si>
    <t xml:space="preserve">  ⓘ Note: Contribution margin &gt; Gross margin because contribution excludes fixed costs (rent, salaries, depreciation). Both correct — contribution shows operating leverage at margin.</t>
  </si>
  <si>
    <t xml:space="preserve">    Capacity Ceiling · Esports Lounge</t>
  </si>
  <si>
    <t xml:space="preserve">Walk-in users</t>
  </si>
  <si>
    <t xml:space="preserve">Daily users × 350 days</t>
  </si>
  <si>
    <t xml:space="preserve">Active memberships</t>
  </si>
  <si>
    <t xml:space="preserve">Member subscriptions</t>
  </si>
  <si>
    <t xml:space="preserve">In-person tournaments</t>
  </si>
  <si>
    <t xml:space="preserve">Casa tournaments per year</t>
  </si>
  <si>
    <t xml:space="preserve">Online tournament events</t>
  </si>
  <si>
    <t xml:space="preserve">Online events (unbounded reach)</t>
  </si>
  <si>
    <t xml:space="preserve">  ESPORTS CAPACITY:
  •  PC stations × hours/day × utilization → physical ceiling.
  •  Memberships have lock-in advantage but cap at member count.
  •  Tournaments: in-person Casa + online qualifiers (online = unbounded).
  •  Bull case: Online platform scales to GCC, MENA → 2-3x revenue without new venue.</t>
  </si>
  <si>
    <t xml:space="preserve">  Operating KPIs · Esports Lounge</t>
  </si>
  <si>
    <t xml:space="preserve">Lounge Manager</t>
  </si>
  <si>
    <t xml:space="preserve">PC usage hours / sellable hours (POS time tracking)</t>
  </si>
  <si>
    <t xml:space="preserve">  Walk-in hours/week</t>
  </si>
  <si>
    <t xml:space="preserve">POS hourly play sessions log</t>
  </si>
  <si>
    <t xml:space="preserve">  Active members</t>
  </si>
  <si>
    <t xml:space="preserve">&lt; 60% of target</t>
  </si>
  <si>
    <t xml:space="preserve">Subscription system / CRM</t>
  </si>
  <si>
    <t xml:space="preserve">  Member retention (rolling 6mo)</t>
  </si>
  <si>
    <t xml:space="preserve">Cohort tracking — % active 6mo after signup</t>
  </si>
  <si>
    <t xml:space="preserve">  Member hours utilization</t>
  </si>
  <si>
    <t xml:space="preserve">&lt; 80%</t>
  </si>
  <si>
    <t xml:space="preserve">Actual member hours / allocated member hours</t>
  </si>
  <si>
    <t xml:space="preserve">  Premium PC mix %</t>
  </si>
  <si>
    <t xml:space="preserve">POS premium-tier sessions / total</t>
  </si>
  <si>
    <t xml:space="preserve">  Equipment uptime %</t>
  </si>
  <si>
    <t xml:space="preserve">Maintenance log / downtime tracker per PC</t>
  </si>
  <si>
    <t xml:space="preserve">  Tournament attendance (per event)</t>
  </si>
  <si>
    <t xml:space="preserve">Tournament Manager</t>
  </si>
  <si>
    <t xml:space="preserve">Sign-up sheets / Discord registrations</t>
  </si>
  <si>
    <t xml:space="preserve">  Online tournament participants</t>
  </si>
  <si>
    <t xml:space="preserve">&lt; 200</t>
  </si>
  <si>
    <t xml:space="preserve">Online platform registration</t>
  </si>
  <si>
    <t xml:space="preserve">  Tournament prize:revenue ratio</t>
  </si>
  <si>
    <t xml:space="preserve">&gt; 60%</t>
  </si>
  <si>
    <t xml:space="preserve">Prizes paid / entry fees collected</t>
  </si>
  <si>
    <t xml:space="preserve">Post-visit Discord/app survey</t>
  </si>
  <si>
    <t xml:space="preserve">  Equipment refresh budget remaining</t>
  </si>
  <si>
    <t xml:space="preserve">Behind plan</t>
  </si>
  <si>
    <t xml:space="preserve">CapEx reserve vs 3-year refresh schedule</t>
  </si>
  <si>
    <t xml:space="preserve">  Avg F&amp;B spend per gamer-hour (cross-pillar)</t>
  </si>
  <si>
    <t xml:space="preserve">&lt; $1.00</t>
  </si>
  <si>
    <t xml:space="preserve">Lounge + F&amp;B</t>
  </si>
  <si>
    <t xml:space="preserve">F&amp;B POS revenue / utilized hours</t>
  </si>
  <si>
    <t xml:space="preserve">  Concurrent peak utilization (peak hours)</t>
  </si>
  <si>
    <t xml:space="preserve">Friday/Saturday evening peak occupancy</t>
  </si>
  <si>
    <t xml:space="preserve">  Safety / incident count</t>
  </si>
  <si>
    <t xml:space="preserve">&gt; 1/month</t>
  </si>
  <si>
    <t xml:space="preserve">Incident log; minor disputes acceptable</t>
  </si>
  <si>
    <t xml:space="preserve">Costs tab GC</t>
  </si>
  <si>
    <t xml:space="preserve">&lt; 45%</t>
  </si>
  <si>
    <t xml:space="preserve">  Recurring revenue ratio (subs only)</t>
  </si>
  <si>
    <t xml:space="preserve">&lt; 8%</t>
  </si>
  <si>
    <t xml:space="preserve">⚠ HEAVY walk-in dependence; build subs to de-risk</t>
  </si>
  <si>
    <t xml:space="preserve">  Tournament revenue ratio</t>
  </si>
  <si>
    <t xml:space="preserve">Online + in-person tournaments</t>
  </si>
  <si>
    <t xml:space="preserve">  Online vs in-person tournament mix</t>
  </si>
  <si>
    <t xml:space="preserve">No alert</t>
  </si>
  <si>
    <t xml:space="preserve">Diversification metric — online scales beyond Casa</t>
  </si>
  <si>
    <t xml:space="preserve">  Member ARPU (annualized)</t>
  </si>
  <si>
    <t xml:space="preserve">&lt; $400</t>
  </si>
  <si>
    <t xml:space="preserve">Subscription fee + member play revenue</t>
  </si>
  <si>
    <t xml:space="preserve">  Cost per FTE per gamer-hour</t>
  </si>
  <si>
    <t xml:space="preserve">&gt; $0.30</t>
  </si>
  <si>
    <t xml:space="preserve">Labor cost ÷ utilized hours; lower = better leverage</t>
  </si>
  <si>
    <t xml:space="preserve">RED THRESHOLDS = ALARM levels. Examples: "&lt; 15%" capacity utilization → marketing intervention; "&lt; 50%" member retention → review pricing/content; "&gt; $0.30" cost per FTE per hour → understaffed for revenue level. ⚠ COMPETITIVE WATCH: 16 public gaming centres opening in Casa — monitor walk-in trend monthly. These are operational alerts, not assumptions — calibrate to your risk tolerance.</t>
  </si>
  <si>
    <t xml:space="preserve">  Side-by-side comparison · Probability-weighted</t>
  </si>
  <si>
    <t xml:space="preserve">  Utilized hours / year</t>
  </si>
  <si>
    <t xml:space="preserve">  Recompute revenue with one driver shifted ±10%/±20% · No coefficients</t>
  </si>
  <si>
    <t xml:space="preserve">  Standard price/hr</t>
  </si>
  <si>
    <t xml:space="preserve">  Memberships count</t>
  </si>
  <si>
    <t xml:space="preserve">  Membership fee</t>
  </si>
  <si>
    <t xml:space="preserve">Each cell uses the ACTUAL revenue formula (capacity → utilization → walk-in/member split → blended pricing → 4 streams) with ONE driver shifted ±10%/±20%, others held at Base. Member hours subtract from walk-in hours to prevent double-counting.
FOR FULL SCENARIO RECALC: Set master toggle (0·SUMMARY!H7) to BEAR/BULL and read 2·Revenue!E12.</t>
  </si>
  <si>
    <t xml:space="preserve">  Industry Benchmarks · Esports Lounge</t>
  </si>
  <si>
    <t xml:space="preserve">  PC stations</t>
  </si>
  <si>
    <t xml:space="preserve">30-50</t>
  </si>
  <si>
    <t xml:space="preserve">50-120</t>
  </si>
  <si>
    <t xml:space="preserve">Mid-tier vs MGE 80+</t>
  </si>
  <si>
    <t xml:space="preserve">E-Blue Casa: 32 std + 10 VIP. MGE Casa: 80-120</t>
  </si>
  <si>
    <t xml:space="preserve">10-12</t>
  </si>
  <si>
    <t xml:space="preserve">12-18</t>
  </si>
  <si>
    <t xml:space="preserve">Standard</t>
  </si>
  <si>
    <t xml:space="preserve">MGE: 8:30-23:00 (~14.5hr); E-Blue similar</t>
  </si>
  <si>
    <t xml:space="preserve">  Operating days/yr</t>
  </si>
  <si>
    <t xml:space="preserve">350-365</t>
  </si>
  <si>
    <t xml:space="preserve">Open 7 days/wk standard for esports lounges</t>
  </si>
  <si>
    <t xml:space="preserve">15-30%</t>
  </si>
  <si>
    <t xml:space="preserve">25-50%</t>
  </si>
  <si>
    <t xml:space="preserve">⚠ Casa market untested at premium pricing</t>
  </si>
  <si>
    <t xml:space="preserve">  Active members (subscribers)</t>
  </si>
  <si>
    <t xml:space="preserve">50-200</t>
  </si>
  <si>
    <t xml:space="preserve">200-500</t>
  </si>
  <si>
    <t xml:space="preserve">Subscription-tier model; Casa thin</t>
  </si>
  <si>
    <t xml:space="preserve">  Tournaments/month</t>
  </si>
  <si>
    <t xml:space="preserve">4-10</t>
  </si>
  <si>
    <t xml:space="preserve">10-20</t>
  </si>
  <si>
    <t xml:space="preserve">Strong cadence</t>
  </si>
  <si>
    <t xml:space="preserve">Casa esports calendar growing</t>
  </si>
  <si>
    <t xml:space="preserve">  Gross contribution margin %</t>
  </si>
  <si>
    <t xml:space="preserve">Industry: $50-120K profit on $350-600K rev = 14-20%</t>
  </si>
  <si>
    <t xml:space="preserve">  Revenue per PC/yr</t>
  </si>
  <si>
    <t xml:space="preserve">$8-15K</t>
  </si>
  <si>
    <t xml:space="preserve">$15-25K</t>
  </si>
  <si>
    <t xml:space="preserve">Below GCC premium</t>
  </si>
  <si>
    <t xml:space="preserve">$10K/PC global benchmark for high-util venues</t>
  </si>
  <si>
    <t xml:space="preserve">3-6</t>
  </si>
  <si>
    <t xml:space="preserve">6-10</t>
  </si>
  <si>
    <t xml:space="preserve">Lean for size</t>
  </si>
  <si>
    <t xml:space="preserve">Manager + 2 floor staff; could bottleneck at peak</t>
  </si>
  <si>
    <t xml:space="preserve">$2.50-5/hr</t>
  </si>
  <si>
    <t xml:space="preserve">$5-15/hr</t>
  </si>
  <si>
    <t xml:space="preserve">E-Blue Casa: 250 MAD/day (~$2.5/hr 10hr)</t>
  </si>
  <si>
    <t xml:space="preserve">$5-8/hr</t>
  </si>
  <si>
    <t xml:space="preserve">$8-20/hr</t>
  </si>
  <si>
    <t xml:space="preserve">VIP zone pricing typical 1.5-2x standard</t>
  </si>
  <si>
    <t xml:space="preserve">30-50%</t>
  </si>
  <si>
    <t xml:space="preserve">In range</t>
  </si>
  <si>
    <t xml:space="preserve">E-Blue: 24% VIP/total (10/42); aggressive at 45%</t>
  </si>
  <si>
    <t xml:space="preserve">$20-50/mo</t>
  </si>
  <si>
    <t xml:space="preserve">$50-149/mo (US)</t>
  </si>
  <si>
    <t xml:space="preserve">Casa entry-level</t>
  </si>
  <si>
    <t xml:space="preserve">US benchmark $149/mo; Casa market thin</t>
  </si>
  <si>
    <t xml:space="preserve">$3-10</t>
  </si>
  <si>
    <t xml:space="preserve">$10-50</t>
  </si>
  <si>
    <t xml:space="preserve">  Online tournament entry</t>
  </si>
  <si>
    <t xml:space="preserve">$2-5</t>
  </si>
  <si>
    <t xml:space="preserve">$5-30</t>
  </si>
  <si>
    <t xml:space="preserve">Casa-priced for MENA reach</t>
  </si>
  <si>
    <t xml:space="preserve">Lower than in-person typical</t>
  </si>
  <si>
    <t xml:space="preserve">$500-5,000</t>
  </si>
  <si>
    <t xml:space="preserve">Casa BD-dependent</t>
  </si>
  <si>
    <t xml:space="preserve">E.g. E-Blue × Monster Energy partnership</t>
  </si>
  <si>
    <t xml:space="preserve">  PC unit cost (CapEx per station)</t>
  </si>
  <si>
    <t xml:space="preserve">$2,000-3,500</t>
  </si>
  <si>
    <t xml:space="preserve">$2,500-5,000</t>
  </si>
  <si>
    <t xml:space="preserve">Mid-spec</t>
  </si>
  <si>
    <t xml:space="preserve">Industry: high-end station $2K-3.5K</t>
  </si>
  <si>
    <t xml:space="preserve">$1-3</t>
  </si>
  <si>
    <t xml:space="preserve">Cross-pillar to F&amp;B (NOT booked here)</t>
  </si>
  <si>
    <t xml:space="preserve">  Revenue per PC/yr (Pixoul)</t>
  </si>
  <si>
    <t xml:space="preserve">$8-25K</t>
  </si>
  <si>
    <t xml:space="preserve">Industry FEC data</t>
  </si>
  <si>
    <t xml:space="preserve">  Total sellable hours/month</t>
  </si>
  <si>
    <t xml:space="preserve">15K-25K</t>
  </si>
  <si>
    <t xml:space="preserve">60 PCs × 12hr × 30d = 21,600</t>
  </si>
  <si>
    <t xml:space="preserve">  Member hours/month</t>
  </si>
  <si>
    <t xml:space="preserve">subset of utilized</t>
  </si>
  <si>
    <t xml:space="preserve">Subscribers × 20hr/mo Base</t>
  </si>
  <si>
    <t xml:space="preserve">  Walk-in hours/month</t>
  </si>
  <si>
    <t xml:space="preserve">majority of utilized</t>
  </si>
  <si>
    <t xml:space="preserve">MAX(0, utilized - member)</t>
  </si>
  <si>
    <t xml:space="preserve">  ARPU per active member</t>
  </si>
  <si>
    <t xml:space="preserve">$300-1,800/yr</t>
  </si>
  <si>
    <t xml:space="preserve">Sub fee + member play</t>
  </si>
  <si>
    <t xml:space="preserve">  ARPU per walk-in (per visit)</t>
  </si>
  <si>
    <t xml:space="preserve">$10-25</t>
  </si>
  <si>
    <t xml:space="preserve">Avg 2hr/visit assumed</t>
  </si>
  <si>
    <t xml:space="preserve">  Tournament participants/yr</t>
  </si>
  <si>
    <t xml:space="preserve">500-2,000</t>
  </si>
  <si>
    <t xml:space="preserve">  Revenue mix — PC time %</t>
  </si>
  <si>
    <t xml:space="preserve">Industry: ~40% benchmark</t>
  </si>
  <si>
    <t xml:space="preserve">  Revenue mix — Subs %</t>
  </si>
  <si>
    <t xml:space="preserve">Recurring revenue ratio</t>
  </si>
  <si>
    <t xml:space="preserve">  Revenue mix — Tournaments %</t>
  </si>
  <si>
    <t xml:space="preserve">15-25%</t>
  </si>
  <si>
    <t xml:space="preserve">Industry: ~20% benchmark</t>
  </si>
  <si>
    <t xml:space="preserve">Stations</t>
  </si>
  <si>
    <t xml:space="preserve">Hardware spec</t>
  </si>
  <si>
    <t xml:space="preserve">  MGE Casablanca (Gauthier)</t>
  </si>
  <si>
    <t xml:space="preserve">80-120 PCs</t>
  </si>
  <si>
    <t xml:space="preserve">144Hz, 7 fiber lines</t>
  </si>
  <si>
    <t xml:space="preserve">MAD pricing</t>
  </si>
  <si>
    <t xml:space="preserve">Largest in Africa</t>
  </si>
  <si>
    <t xml:space="preserve">49 Rue Jean Jaurès; "largest gaming centre in Africa"</t>
  </si>
  <si>
    <t xml:space="preserve">  E-Blue Gaming Maroc (Zerktouni)</t>
  </si>
  <si>
    <t xml:space="preserve">32 std + 10 VIP + PS5</t>
  </si>
  <si>
    <t xml:space="preserve">RTX 3070-3080, 144-240Hz</t>
  </si>
  <si>
    <t xml:space="preserve">~250 MAD/day</t>
  </si>
  <si>
    <t xml:space="preserve">Premium tier</t>
  </si>
  <si>
    <t xml:space="preserve">283 Bd Zerktouni; Monster Energy partnership; streaming zone</t>
  </si>
  <si>
    <t xml:space="preserve">  Versus Arena Gaming Center</t>
  </si>
  <si>
    <t xml:space="preserve">n/a</t>
  </si>
  <si>
    <t xml:space="preserve">Mid-market</t>
  </si>
  <si>
    <t xml:space="preserve">TripAdvisor-listed Casa esports venue</t>
  </si>
  <si>
    <t xml:space="preserve">  Gaming Spot Center</t>
  </si>
  <si>
    <t xml:space="preserve">PC + PS5 zones</t>
  </si>
  <si>
    <t xml:space="preserve">24 Rue Erraihane Beauséjour; loyalty system</t>
  </si>
  <si>
    <t xml:space="preserve">  Alpha Squad Center</t>
  </si>
  <si>
    <t xml:space="preserve">n/a (esports team focus)</t>
  </si>
  <si>
    <t xml:space="preserve">Esports team venue</t>
  </si>
  <si>
    <t xml:space="preserve">28 Rue Ibn Habib; competitive team-focused</t>
  </si>
  <si>
    <t xml:space="preserve">  Casa public gaming centres</t>
  </si>
  <si>
    <t xml:space="preserve">FREE / subsidized</t>
  </si>
  <si>
    <t xml:space="preserve">⚠ COMPETITIVE THREAT</t>
  </si>
  <si>
    <t xml:space="preserve">16 centres opening across Casa districts (Feb 2026)</t>
  </si>
  <si>
    <t xml:space="preserve">  MGE Rabat (capital)</t>
  </si>
  <si>
    <t xml:space="preserve">50 PCs</t>
  </si>
  <si>
    <t xml:space="preserve">Smaller comp</t>
  </si>
  <si>
    <t xml:space="preserve">Same chain, smaller venue</t>
  </si>
  <si>
    <t xml:space="preserve">  Pixoul Esports Lounge (us)</t>
  </si>
  <si>
    <t xml:space="preserve">60 PCs (mid-tier)</t>
  </si>
  <si>
    <t xml:space="preserve">Mixed std + premium</t>
  </si>
  <si>
    <t xml:space="preserve">$5.25-8.50/hr</t>
  </si>
  <si>
    <t xml:space="preserve">BLENDED: walk-in + subs + tournaments + online</t>
  </si>
  <si>
    <t xml:space="preserve">  • MGE: mge.ma — chain of gaming centres in Casa + Rabat</t>
  </si>
  <si>
    <t xml:space="preserve">  • E-Blue Gaming Maroc: ebluegaming.ma + geekmaroc.agency profile</t>
  </si>
  <si>
    <t xml:space="preserve">  • Aujourd'hui le Maroc: MGE Casa "largest gaming center in Africa"</t>
  </si>
  <si>
    <t xml:space="preserve">  • Le Matin Maroc: E-Blue Casa launch (3 zones: 40 std PCs + 10 VIP + PS5 + streaming)</t>
  </si>
  <si>
    <t xml:space="preserve">  • Rents.ma: E-Blue Casa 250 MAD/day pricing</t>
  </si>
  <si>
    <t xml:space="preserve">  • 7news.ma (Feb 2026): 16 PUBLIC gaming centres opening across Casa — DEMAND THREAT</t>
  </si>
  <si>
    <t xml:space="preserve">  • LGaming.ma: Gaming Spot Center Casa review</t>
  </si>
  <si>
    <t xml:space="preserve">  • Tripadvisor: Versus Arena Gaming Center Casa profile</t>
  </si>
  <si>
    <t xml:space="preserve">  • Facebook: Alpha Squad Casa, MGE Casa pages</t>
  </si>
  <si>
    <t xml:space="preserve">Global / industry:</t>
  </si>
  <si>
    <t xml:space="preserve">  • Statista esports global ARPU: $6.19/yr — low monetization gap</t>
  </si>
  <si>
    <t xml:space="preserve">  • Industry: 30-station lounge $350-600K rev / 14-20% margin</t>
  </si>
  <si>
    <t xml:space="preserve">  • Industry: 50% of gaming lounges fail in first 2 years</t>
  </si>
  <si>
    <t xml:space="preserve">  • Industry: Hardware $2K-3.5K per high-end station; 2-3yr refresh</t>
  </si>
  <si>
    <t xml:space="preserve">  • Industry: Revenue mix benchmark 40% PC / 30% F&amp;B / 20% events / 10% merch</t>
  </si>
  <si>
    <t xml:space="preserve">  • Pixoul model: 04_X_1_Drivers (live-linked)</t>
  </si>
  <si>
    <t xml:space="preserve">Methodology: All Casa esports/gaming-cafe price points sourced from public providers via web search Apr 2026. Pixoul figures live-linked to 04_X_1_Drivers. ⚠ MAJOR COMPETITIVE THREAT: 16 public gaming centres opening across Casa (Feb 2026 7news.ma) will erode walk-in demand — premium positioning and tournament/membership stickiness become critical.</t>
  </si>
  <si>
    <t xml:space="preserve">    Master Integration · Esports Lounge</t>
  </si>
  <si>
    <t xml:space="preserve">'2·Master Revenue'!D10</t>
  </si>
  <si>
    <t xml:space="preserve">'3·Master Cost'!I10</t>
  </si>
  <si>
    <t xml:space="preserve">'2·Master Revenue'!F10</t>
  </si>
  <si>
    <t xml:space="preserve">'2·Master Revenue'!G10</t>
  </si>
  <si>
    <t xml:space="preserve">'2·Master Revenue'!H10</t>
  </si>
  <si>
    <t xml:space="preserve">'2·Master Revenue'!I10</t>
  </si>
  <si>
    <t xml:space="preserve">'2·Master Revenue'!J10</t>
  </si>
  <si>
    <t xml:space="preserve">  • F&amp;B (07): Esports gamers → $117K/yr F&amp;B spillover (BOOKED IN F&amp;B).
  • Sponsorships (08): Esports zone sponsors + tournament sponsors.
  • Events Hall (02): Major esports tournaments use Events Hall (revenue stays in Esports).
  • Borderless (09): Online tournaments → GCC expansion potential.</t>
  </si>
  <si>
    <t xml:space="preserve">  Museum · SUMMARY Dashboard</t>
  </si>
  <si>
    <t xml:space="preserve">  Tourist tickets</t>
  </si>
  <si>
    <t xml:space="preserve">  Local tickets</t>
  </si>
  <si>
    <t xml:space="preserve">  School/student tickets</t>
  </si>
  <si>
    <t xml:space="preserve">  Cross-pillar visitors</t>
  </si>
  <si>
    <t xml:space="preserve">  Premium upsells (VIP/guided)</t>
  </si>
  <si>
    <t xml:space="preserve">  Retail (Moroccan culture store)</t>
  </si>
  <si>
    <t xml:space="preserve">Museum % of Total</t>
  </si>
  <si>
    <t xml:space="preserve">Cultural anchor + visitor magnet. Drives F&amp;B + Academy cross-pillar revenue. Heritage IP (Moroccan Future &amp; Culture) — irreplicable competitive moat.</t>
  </si>
  <si>
    <t xml:space="preserve">  Drivers · Visitor Engine · Retail Engine · Cost Drivers</t>
  </si>
  <si>
    <t xml:space="preserve">  Standalone visitor demand + cross-pillar bonus · Toggle-driven</t>
  </si>
  <si>
    <t xml:space="preserve">  Standalone visitors per day (avg)</t>
  </si>
  <si>
    <t xml:space="preserve">Conservative Y4 mature — Bear=Y1 launch, Bull=tourist-anchored success</t>
  </si>
  <si>
    <t xml:space="preserve">  Operating days per year</t>
  </si>
  <si>
    <t xml:space="preserve">Closed major holidays (Eid, Ramadan)</t>
  </si>
  <si>
    <t xml:space="preserve">  % visitor mix — Tourists</t>
  </si>
  <si>
    <t xml:space="preserve">Tourist share (full price)</t>
  </si>
  <si>
    <t xml:space="preserve">  % visitor mix — Locals</t>
  </si>
  <si>
    <t xml:space="preserve">Local resident share (mid price)</t>
  </si>
  <si>
    <t xml:space="preserve">  % visitor mix — School groups</t>
  </si>
  <si>
    <t xml:space="preserve">Student rate (discount)</t>
  </si>
  <si>
    <t xml:space="preserve">  Tourist ticket price ($)</t>
  </si>
  <si>
    <t xml:space="preserve">Premium pricing — international visitors</t>
  </si>
  <si>
    <t xml:space="preserve">  Local ticket price ($)</t>
  </si>
  <si>
    <t xml:space="preserve">Mid-tier — Casa residents</t>
  </si>
  <si>
    <t xml:space="preserve">  School/student price ($)</t>
  </si>
  <si>
    <t xml:space="preserve">Discounted educational rate</t>
  </si>
  <si>
    <t xml:space="preserve">  Premium upsell conversion %</t>
  </si>
  <si>
    <t xml:space="preserve">% of visitors buying premium add-ons</t>
  </si>
  <si>
    <t xml:space="preserve">  Premium upsell avg add ($)</t>
  </si>
  <si>
    <t xml:space="preserve">VIP, guided tours, special exhibits</t>
  </si>
  <si>
    <t xml:space="preserve">  Retail conversion % of visitors</t>
  </si>
  <si>
    <t xml:space="preserve">% of visitors who buy from gift shop</t>
  </si>
  <si>
    <t xml:space="preserve">  Retail avg basket ($)</t>
  </si>
  <si>
    <t xml:space="preserve">Premium identity + accessible souvenirs + tech kits</t>
  </si>
  <si>
    <t xml:space="preserve">  Cross-pillar conversion to Museum %</t>
  </si>
  <si>
    <t xml:space="preserve">% of Gaming/Academy/Events users who visit Museum (incl. ecosystem pass)</t>
  </si>
  <si>
    <t xml:space="preserve">  Cross-pillar avg ticket ($)</t>
  </si>
  <si>
    <t xml:space="preserve">Discounted ecosystem-member rate</t>
  </si>
  <si>
    <t xml:space="preserve">  Active visitors/day</t>
  </si>
  <si>
    <t xml:space="preserve">→ Visitor engine</t>
  </si>
  <si>
    <t xml:space="preserve">  Active operating days</t>
  </si>
  <si>
    <t xml:space="preserve">  Active tourist mix %</t>
  </si>
  <si>
    <t xml:space="preserve">→ Pricing</t>
  </si>
  <si>
    <t xml:space="preserve">  Active local mix %</t>
  </si>
  <si>
    <t xml:space="preserve">  Active school mix %</t>
  </si>
  <si>
    <t xml:space="preserve">  Active tourist price</t>
  </si>
  <si>
    <t xml:space="preserve">→ Ticketing revenue</t>
  </si>
  <si>
    <t xml:space="preserve">  Active local price</t>
  </si>
  <si>
    <t xml:space="preserve">  Active school price</t>
  </si>
  <si>
    <t xml:space="preserve">  Active premium conversion %</t>
  </si>
  <si>
    <t xml:space="preserve">→ Premium upsells</t>
  </si>
  <si>
    <t xml:space="preserve">  Active premium avg add</t>
  </si>
  <si>
    <t xml:space="preserve">  Active retail conversion %</t>
  </si>
  <si>
    <t xml:space="preserve">→ Retail</t>
  </si>
  <si>
    <t xml:space="preserve">  Active retail basket</t>
  </si>
  <si>
    <t xml:space="preserve">  Active cross-pillar conv %</t>
  </si>
  <si>
    <t xml:space="preserve">→ Cross-pillar bonus</t>
  </si>
  <si>
    <t xml:space="preserve">  Active cross-pillar price</t>
  </si>
  <si>
    <t xml:space="preserve">◆  CROSS-PILLAR  TAM  (HARDCODED Base values · LIVE LINK in Master)</t>
  </si>
  <si>
    <t xml:space="preserve">  Gaming Hall — annual visitors</t>
  </si>
  <si>
    <t xml:space="preserve">⚠ HARDCODED</t>
  </si>
  <si>
    <t xml:space="preserve">From Pillar 01 Gaming Hall Base</t>
  </si>
  <si>
    <t xml:space="preserve">  Academy — active students/month</t>
  </si>
  <si>
    <t xml:space="preserve">From Pillar 03 Academy at Base optimization</t>
  </si>
  <si>
    <t xml:space="preserve">  Events Hall — total annual attendees</t>
  </si>
  <si>
    <t xml:space="preserve">From Pillar 02 Events at Base</t>
  </si>
  <si>
    <t xml:space="preserve">◆  VISITOR  ENGINE  (annual standalone + cross-pillar bonus)</t>
  </si>
  <si>
    <t xml:space="preserve">  Standalone annual visitors</t>
  </si>
  <si>
    <t xml:space="preserve">Visitors/day × operating days</t>
  </si>
  <si>
    <t xml:space="preserve">  Tourist visitors</t>
  </si>
  <si>
    <t xml:space="preserve">Standalone × tourist mix %</t>
  </si>
  <si>
    <t xml:space="preserve">  Local visitors</t>
  </si>
  <si>
    <t xml:space="preserve">Standalone × local mix %</t>
  </si>
  <si>
    <t xml:space="preserve">  School/student visitors</t>
  </si>
  <si>
    <t xml:space="preserve">Standalone × school mix %</t>
  </si>
  <si>
    <t xml:space="preserve">  Cross-pillar TAM (annual)</t>
  </si>
  <si>
    <t xml:space="preserve">Gaming + Academy*12 + Events attendees</t>
  </si>
  <si>
    <t xml:space="preserve">  Cross-pillar visitors (bonus)</t>
  </si>
  <si>
    <t xml:space="preserve">Cross-pillar TAM × ecosystem conversion %</t>
  </si>
  <si>
    <t xml:space="preserve">  TOTAL annual visitors</t>
  </si>
  <si>
    <t xml:space="preserve">Standalone + cross-pillar bonus</t>
  </si>
  <si>
    <t xml:space="preserve">  Blended standalone ticket ($)</t>
  </si>
  <si>
    <t xml:space="preserve">Mix-weighted standalone ticket price</t>
  </si>
  <si>
    <t xml:space="preserve">◆  CROSS-PILLAR  FLOW-OUT  (Museum DRIVES F&amp;B + Academy)</t>
  </si>
  <si>
    <t xml:space="preserve">  Museum → F&amp;B conversion %</t>
  </si>
  <si>
    <t xml:space="preserve">% of museum visitors who buy F&amp;B before/after visit</t>
  </si>
  <si>
    <t xml:space="preserve">  Museum → F&amp;B avg spend ($)</t>
  </si>
  <si>
    <t xml:space="preserve">Avg F&amp;B spend per converting visitor</t>
  </si>
  <si>
    <t xml:space="preserve">  F&amp;B revenue created (info — books in P07)</t>
  </si>
  <si>
    <t xml:space="preserve">Total visitors × F&amp;B conv × spend (cross-pillar reference)</t>
  </si>
  <si>
    <t xml:space="preserve">  Museum → Academy lead conversion %</t>
  </si>
  <si>
    <t xml:space="preserve">% of visitors who become Academy leads (Future Zone exposure)</t>
  </si>
  <si>
    <t xml:space="preserve">  Academy leads generated (info)</t>
  </si>
  <si>
    <t xml:space="preserve">Total visitors × Academy lead conv (Future Zone exposure)</t>
  </si>
  <si>
    <t xml:space="preserve">    Museum director / curator (1 FTE)</t>
  </si>
  <si>
    <t xml:space="preserve">Senior FTE</t>
  </si>
  <si>
    <t xml:space="preserve">    Tour guides / interpreters (2 FTE)</t>
  </si>
  <si>
    <t xml:space="preserve">3 × $1,000/mo × 12 — bilingual (AR/FR/EN)</t>
  </si>
  <si>
    <t xml:space="preserve">    Tech/AV maintenance staff (1 FTE)</t>
  </si>
  <si>
    <t xml:space="preserve">1 FTE — VR rigs, robotics, interactive screens maintenance (Casa rate)</t>
  </si>
  <si>
    <t xml:space="preserve">    Front desk / ticketing (1 FTE — shared with complex)</t>
  </si>
  <si>
    <t xml:space="preserve">Right-sized: 1 dedicated + complex shared front desk; was $21.6K, now $10.8K</t>
  </si>
  <si>
    <t xml:space="preserve">    Retail shop staff (0.5 FTE part-time)</t>
  </si>
  <si>
    <t xml:space="preserve">Part-time staffing for retail; was $10.8K, now $5.4K</t>
  </si>
  <si>
    <t xml:space="preserve">    Tech equipment maintenance (annual)</t>
  </si>
  <si>
    <t xml:space="preserve">VR rigs, robotics, interactive screens (high wear)</t>
  </si>
  <si>
    <t xml:space="preserve">    Content refresh (annual)</t>
  </si>
  <si>
    <t xml:space="preserve">Rotating exhibits to drive repeat visits — KEY differentiator</t>
  </si>
  <si>
    <t xml:space="preserve">    Utilities (annual)</t>
  </si>
  <si>
    <t xml:space="preserve">    Insurance + permits (annual)</t>
  </si>
  <si>
    <t xml:space="preserve">Cultural venue + equipment insurance</t>
  </si>
  <si>
    <t xml:space="preserve">    Marketing + brand (annual)</t>
  </si>
  <si>
    <t xml:space="preserve">Tourism partnerships + school programs + digital</t>
  </si>
  <si>
    <t xml:space="preserve">    Equipment depreciation (annual)</t>
  </si>
  <si>
    <t xml:space="preserve">$120K initial fitout / 4yr life (AI displays, AV)</t>
  </si>
  <si>
    <t xml:space="preserve">  VARIABLE costs</t>
  </si>
  <si>
    <t xml:space="preserve">    Retail COGS % of retail revenue</t>
  </si>
  <si>
    <t xml:space="preserve">Premium identity products + tech kits sourcing</t>
  </si>
  <si>
    <t xml:space="preserve">    Payment processing % of revenue</t>
  </si>
  <si>
    <t xml:space="preserve">Card processing on ticketing + retail</t>
  </si>
  <si>
    <t xml:space="preserve">    Variable supplies per visitor</t>
  </si>
  <si>
    <t xml:space="preserve">Maps, audio guides battery, hand-outs</t>
  </si>
  <si>
    <t xml:space="preserve">    Assumption Register · Museum</t>
  </si>
  <si>
    <t xml:space="preserve">    All assumptions · Sources · Confidence ratings · Sensitivity flags</t>
  </si>
  <si>
    <t xml:space="preserve">⚠  CONFIDENCE column: please review and update each entry. Default is PENDING REVIEW.</t>
  </si>
  <si>
    <t xml:space="preserve">Daily visitors</t>
  </si>
  <si>
    <t xml:space="preserve">Casa tourism + local</t>
  </si>
  <si>
    <t xml:space="preserve">UNVALIDATED — Casa interactive gaming-museum is unique concept; no comp</t>
  </si>
  <si>
    <t xml:space="preserve">Operating days/year</t>
  </si>
  <si>
    <t xml:space="preserve">Operating days standard; ~330/yr</t>
  </si>
  <si>
    <t xml:space="preserve">Standard ticket price</t>
  </si>
  <si>
    <t xml:space="preserve">Casa cultural/entertainment ticket pricing — Museum Mohammed VI ~80 MAD</t>
  </si>
  <si>
    <t xml:space="preserve">Premium experience price</t>
  </si>
  <si>
    <t xml:space="preserve">VIP tour benchmarks</t>
  </si>
  <si>
    <t xml:space="preserve">Premium experience uptake UNTESTED — biggest revenue lever if it lands</t>
  </si>
  <si>
    <t xml:space="preserve">Group/educational price</t>
  </si>
  <si>
    <t xml:space="preserve">School tour market</t>
  </si>
  <si>
    <t xml:space="preserve">Group/educational rate — typical 30-40% off standard; school market viable</t>
  </si>
  <si>
    <t xml:space="preserve">Premium uptake %</t>
  </si>
  <si>
    <t xml:space="preserve">Industry benchmark</t>
  </si>
  <si>
    <t xml:space="preserve">Premium uptake % is UNVALIDATED — Pixoul UAE has no museum analog</t>
  </si>
  <si>
    <t xml:space="preserve">Group bookings/yr</t>
  </si>
  <si>
    <t xml:space="preserve">School calendar</t>
  </si>
  <si>
    <t xml:space="preserve">Casa school market large — MoE partnership realistic</t>
  </si>
  <si>
    <t xml:space="preserve">Content + curator costs</t>
  </si>
  <si>
    <t xml:space="preserve">⚠ Content + curator costs likely UNDER-ESTIMATED for 26.6% margin to land 30-50% norm</t>
  </si>
  <si>
    <t xml:space="preserve">Maintenance + AV</t>
  </si>
  <si>
    <t xml:space="preserve">Vendor quotes</t>
  </si>
  <si>
    <t xml:space="preserve">Maintenance + AV — interactive exhibitions wear faster than static</t>
  </si>
  <si>
    <t xml:space="preserve">Museum industry</t>
  </si>
  <si>
    <t xml:space="preserve">Gift shop minor revenue contribution</t>
  </si>
  <si>
    <t xml:space="preserve">Group billing</t>
  </si>
  <si>
    <t xml:space="preserve">Mostly cash business — minimal AR</t>
  </si>
  <si>
    <t xml:space="preserve">Maintenance capex — interactive exhibits need refresh every 5-7yr</t>
  </si>
  <si>
    <t xml:space="preserve">ℹ  AUDIT  NOTE</t>
  </si>
  <si>
    <t xml:space="preserve">Confidence column = my pre-classification (HIGH=validated · MED=industry comparable · LOW=estimate). Marked "PENDING" until you override. Sensitivity column = Y4 EBITDA impact at ±20% (HIGH &gt;$30K · MED $10-30K · LOW &lt;$10K). Yellow cells in Confidence column are EDITABLE.</t>
  </si>
  <si>
    <t xml:space="preserve">  Ticketing (mix-weighted) + Premium Upsells + Retail · Cross-pillar bonus included</t>
  </si>
  <si>
    <t xml:space="preserve">◆  STREAM  1  —  TICKETING  (visitor mix-weighted)</t>
  </si>
  <si>
    <t xml:space="preserve">Sub-stream</t>
  </si>
  <si>
    <t xml:space="preserve">Visitors</t>
  </si>
  <si>
    <t xml:space="preserve">$/ticket</t>
  </si>
  <si>
    <t xml:space="preserve">    Tourist tickets</t>
  </si>
  <si>
    <t xml:space="preserve">Tourist visitors × tourist price</t>
  </si>
  <si>
    <t xml:space="preserve">    Local tickets</t>
  </si>
  <si>
    <t xml:space="preserve">Local visitors × local price</t>
  </si>
  <si>
    <t xml:space="preserve">    School/student tickets</t>
  </si>
  <si>
    <t xml:space="preserve">School visitors × school price</t>
  </si>
  <si>
    <t xml:space="preserve">    Cross-pillar visitors (ecosystem)</t>
  </si>
  <si>
    <t xml:space="preserve">Ecosystem members × discounted price</t>
  </si>
  <si>
    <t xml:space="preserve">  Ticketing SUBTOTAL</t>
  </si>
  <si>
    <t xml:space="preserve">◆  STREAM  2  —  PREMIUM  UPSELLS  (VIP, guided tours, special exhibits)</t>
  </si>
  <si>
    <t xml:space="preserve">Buyers</t>
  </si>
  <si>
    <t xml:space="preserve">$/add</t>
  </si>
  <si>
    <t xml:space="preserve">    Premium upsells (VIP/guided/special)</t>
  </si>
  <si>
    <t xml:space="preserve">Total visitors × upsell conversion × avg add</t>
  </si>
  <si>
    <t xml:space="preserve">  Premium Upsells SUBTOTAL</t>
  </si>
  <si>
    <t xml:space="preserve">◆  STREAM  3  —  RETAIL  (hybrid: premium identity + souvenirs + tech kits)</t>
  </si>
  <si>
    <t xml:space="preserve">$/basket</t>
  </si>
  <si>
    <t xml:space="preserve">    Curated Moroccan Future &amp; Culture Store</t>
  </si>
  <si>
    <t xml:space="preserve">Total visitors × retail conv × avg basket</t>
  </si>
  <si>
    <t xml:space="preserve">  Retail SUBTOTAL</t>
  </si>
  <si>
    <t xml:space="preserve">◆  TOTAL  MUSEUM  REVENUE  (Y4 mature)</t>
  </si>
  <si>
    <t xml:space="preserve">  TOTAL MUSEUM REVENUE</t>
  </si>
  <si>
    <t xml:space="preserve">  Ticketing</t>
  </si>
  <si>
    <t xml:space="preserve">  Premium Upsells</t>
  </si>
  <si>
    <t xml:space="preserve">  Retail</t>
  </si>
  <si>
    <t xml:space="preserve">◆  CROSS-PILLAR  IMPACT  (info only — books in P07 F&amp;B / P03 Academy)</t>
  </si>
  <si>
    <t xml:space="preserve">→ Museum visitors × 40% F&amp;B conv × $6 avg</t>
  </si>
  <si>
    <t xml:space="preserve">→ Museum visitors × 2% lead conv (Future Zone exposure)</t>
  </si>
  <si>
    <t xml:space="preserve">  Staff + content refresh + tech maintenance + retail COGS + depreciation</t>
  </si>
  <si>
    <t xml:space="preserve">Per Visitor</t>
  </si>
  <si>
    <t xml:space="preserve">  Museum director / curator (1 FTE)</t>
  </si>
  <si>
    <t xml:space="preserve">  Tour guides / interpreters (3 FTE)</t>
  </si>
  <si>
    <t xml:space="preserve">3 bilingual guides</t>
  </si>
  <si>
    <t xml:space="preserve">  Tech/AV maintenance staff (1 FTE)</t>
  </si>
  <si>
    <t xml:space="preserve">Keeps exhibits running</t>
  </si>
  <si>
    <t xml:space="preserve">  Front desk / ticketing (2 FTE)</t>
  </si>
  <si>
    <t xml:space="preserve">2 FTE</t>
  </si>
  <si>
    <t xml:space="preserve">  Retail shop staff (1 FTE)</t>
  </si>
  <si>
    <t xml:space="preserve">Gift shop coverage</t>
  </si>
  <si>
    <t xml:space="preserve">  Tech equipment maintenance</t>
  </si>
  <si>
    <t xml:space="preserve">VR, robotics, screens</t>
  </si>
  <si>
    <t xml:space="preserve">  Content refresh</t>
  </si>
  <si>
    <t xml:space="preserve">Rotating exhibits — repeat visit driver</t>
  </si>
  <si>
    <t xml:space="preserve">Museum zones share</t>
  </si>
  <si>
    <t xml:space="preserve">  Utilities</t>
  </si>
  <si>
    <t xml:space="preserve">Lighting, AV, HVAC</t>
  </si>
  <si>
    <t xml:space="preserve">Cultural venue insurance</t>
  </si>
  <si>
    <t xml:space="preserve">  Marketing + brand</t>
  </si>
  <si>
    <t xml:space="preserve">⚠ MOVED to Master Cost C44 (Central Marketing $300K) | (was: Tourism + school programs)</t>
  </si>
  <si>
    <t xml:space="preserve">$120K fitout / 4yr</t>
  </si>
  <si>
    <t xml:space="preserve">  Retail COGS</t>
  </si>
  <si>
    <t xml:space="preserve">50% of retail revenue</t>
  </si>
  <si>
    <t xml:space="preserve">⚠ MOVED to Master Cost C50 ($84K centralized) | (was: % of total revenue)</t>
  </si>
  <si>
    <t xml:space="preserve">  Variable supplies per visitor</t>
  </si>
  <si>
    <t xml:space="preserve">Per visitor × annual visitors</t>
  </si>
  <si>
    <t xml:space="preserve">◆  FIXED  /  VARIABLE  SPLIT</t>
  </si>
  <si>
    <t xml:space="preserve">◆  GROSS  CONTRIBUTION  /  EBITDA</t>
  </si>
  <si>
    <t xml:space="preserve">  GROSS CONTRIBUTION (EBITDA)</t>
  </si>
  <si>
    <t xml:space="preserve">Target: 35-45% (museums)</t>
  </si>
  <si>
    <t xml:space="preserve">    Eight-Year Projection · Museum</t>
  </si>
  <si>
    <t xml:space="preserve">    Profit &amp; Loss · Museum</t>
  </si>
  <si>
    <t xml:space="preserve">    Cash Flow Forecast · Museum</t>
  </si>
  <si>
    <t xml:space="preserve">  Unit Economics · Per Visitor · Per Stream</t>
  </si>
  <si>
    <t xml:space="preserve">  Visitor metrics · Retail conversion · Cross-pillar yield</t>
  </si>
  <si>
    <t xml:space="preserve">◆  PER-VISITOR  ECONOMICS</t>
  </si>
  <si>
    <t xml:space="preserve">  Total annual visitors</t>
  </si>
  <si>
    <t xml:space="preserve">  Standalone visitors only</t>
  </si>
  <si>
    <t xml:space="preserve">Tourist + Local + School</t>
  </si>
  <si>
    <t xml:space="preserve">  Cross-pillar bonus visitors</t>
  </si>
  <si>
    <t xml:space="preserve">From Gaming/Academy/Events</t>
  </si>
  <si>
    <t xml:space="preserve">  Avg revenue per visitor (blended)</t>
  </si>
  <si>
    <t xml:space="preserve">All revenue ÷ all visitors</t>
  </si>
  <si>
    <t xml:space="preserve">  Avg cost per visitor</t>
  </si>
  <si>
    <t xml:space="preserve">All costs ÷ all visitors</t>
  </si>
  <si>
    <t xml:space="preserve">  Contribution per visitor</t>
  </si>
  <si>
    <t xml:space="preserve">Revenue/visitor - Cost/visitor</t>
  </si>
  <si>
    <t xml:space="preserve">◆  PER-STREAM  ECONOMICS</t>
  </si>
  <si>
    <t xml:space="preserve">  Avg ticket price (standalone blended)</t>
  </si>
  <si>
    <t xml:space="preserve">Mix-weighted standalone ticket</t>
  </si>
  <si>
    <t xml:space="preserve">  Premium upsell take rate</t>
  </si>
  <si>
    <t xml:space="preserve">% of visitors buying premium</t>
  </si>
  <si>
    <t xml:space="preserve">  Premium upsell avg spend</t>
  </si>
  <si>
    <t xml:space="preserve">Per upsell buyer</t>
  </si>
  <si>
    <t xml:space="preserve">  Retail conversion %</t>
  </si>
  <si>
    <t xml:space="preserve">% of visitors who buy retail</t>
  </si>
  <si>
    <t xml:space="preserve">  Retail avg basket</t>
  </si>
  <si>
    <t xml:space="preserve">Per retail buyer</t>
  </si>
  <si>
    <t xml:space="preserve">  Retail revenue per visitor</t>
  </si>
  <si>
    <t xml:space="preserve">Retail revenue ÷ all visitors</t>
  </si>
  <si>
    <t xml:space="preserve">◆  CROSS-PILLAR  YIELD  (Museum drives ecosystem)</t>
  </si>
  <si>
    <t xml:space="preserve">  F&amp;B revenue created per visitor</t>
  </si>
  <si>
    <t xml:space="preserve">F&amp;B downstream from Museum visit</t>
  </si>
  <si>
    <t xml:space="preserve">  Academy leads per 1,000 visitors</t>
  </si>
  <si>
    <t xml:space="preserve">Future Zone → Academy leads</t>
  </si>
  <si>
    <t xml:space="preserve">All 3 streams</t>
  </si>
  <si>
    <t xml:space="preserve">  Gross Contribution (EBITDA)</t>
  </si>
  <si>
    <t xml:space="preserve">Revenue - direct</t>
  </si>
  <si>
    <t xml:space="preserve">Museum target: 35-45%</t>
  </si>
  <si>
    <t xml:space="preserve">  Required visitors to cover fixed costs · Margin of safety</t>
  </si>
  <si>
    <t xml:space="preserve">From F/V split</t>
  </si>
  <si>
    <t xml:space="preserve">Variable ÷ revenue</t>
  </si>
  <si>
    <t xml:space="preserve">◆  BREAKEVEN  IN  VISITORS</t>
  </si>
  <si>
    <t xml:space="preserve">  Avg revenue per visitor</t>
  </si>
  <si>
    <t xml:space="preserve">Blended per-visitor revenue</t>
  </si>
  <si>
    <t xml:space="preserve">  Required visitors/year</t>
  </si>
  <si>
    <t xml:space="preserve">Visitors needed to breakeven</t>
  </si>
  <si>
    <t xml:space="preserve">  Required visitors/day</t>
  </si>
  <si>
    <t xml:space="preserve">Daily visitor target</t>
  </si>
  <si>
    <t xml:space="preserve">  Current visitors/year</t>
  </si>
  <si>
    <t xml:space="preserve">  Buffer (visitors above breakeven)</t>
  </si>
  <si>
    <t xml:space="preserve">Cushion</t>
  </si>
  <si>
    <t xml:space="preserve">  ⓘ Note: Contribution margin &gt; Gross margin because contribution excludes fixed costs (rent, salaries, depreciation).</t>
  </si>
  <si>
    <t xml:space="preserve">    Capacity Ceiling · Museum</t>
  </si>
  <si>
    <t xml:space="preserve">Daily × operating days</t>
  </si>
  <si>
    <t xml:space="preserve">Premium experiences</t>
  </si>
  <si>
    <t xml:space="preserve">Premium / avg price</t>
  </si>
  <si>
    <t xml:space="preserve">Group tour slots</t>
  </si>
  <si>
    <t xml:space="preserve">Bookings / avg group price</t>
  </si>
  <si>
    <t xml:space="preserve">  MUSEUM CAPACITY:
  •  Daily visitor capacity ~250-300 (1,000 sqm exhibit space).
  •  Premium experiences (VIP tours) limited by guides + slot availability.
  •  Group/educational tours have unlimited upside — schools across Casa region.
  •  Bull case: Travelling exhibitions → revenue multiplies via Borderless pillar.</t>
  </si>
  <si>
    <t xml:space="preserve">    Operating KPIs · Museum</t>
  </si>
  <si>
    <t xml:space="preserve">    Track these to manage performance · Threshold = ALARM LEVEL</t>
  </si>
  <si>
    <t xml:space="preserve">Daily</t>
  </si>
  <si>
    <t xml:space="preserve">Museum Director</t>
  </si>
  <si>
    <t xml:space="preserve">Ticket POS</t>
  </si>
  <si>
    <t xml:space="preserve">Avg ticket price</t>
  </si>
  <si>
    <t xml:space="preserve">&lt;$8</t>
  </si>
  <si>
    <t xml:space="preserve">Premium experience %</t>
  </si>
  <si>
    <t xml:space="preserve">Premium / Standard ratio</t>
  </si>
  <si>
    <t xml:space="preserve">Group tours/month</t>
  </si>
  <si>
    <t xml:space="preserve">&lt;5</t>
  </si>
  <si>
    <t xml:space="preserve">Sales Manager</t>
  </si>
  <si>
    <t xml:space="preserve">Booking system</t>
  </si>
  <si>
    <t xml:space="preserve">Visitor NPS</t>
  </si>
  <si>
    <t xml:space="preserve">&lt;3.8</t>
  </si>
  <si>
    <t xml:space="preserve">Repeat visit rate %</t>
  </si>
  <si>
    <t xml:space="preserve">&lt;10%</t>
  </si>
  <si>
    <t xml:space="preserve">Visitor tracking</t>
  </si>
  <si>
    <t xml:space="preserve">&lt;60%</t>
  </si>
  <si>
    <t xml:space="preserve">&lt;80% of plan</t>
  </si>
  <si>
    <t xml:space="preserve">Revenue YoY growth</t>
  </si>
  <si>
    <t xml:space="preserve">8-Year tab</t>
  </si>
  <si>
    <t xml:space="preserve">  THE RED THRESHOLDS are operational alarm levels — at what point do you escalate?
  Examples:
    • '&lt;70% of target' = if KPI drops below 70% of target → alert
    • '&lt;60%' = if margin drops below 60% → alert
    • 'Negative' = if monthly OCF turns negative → alert
  These are NOT assumptions — they are operational thresholds. Customize based on your tolerance.</t>
  </si>
  <si>
    <t xml:space="preserve">  Recompute revenue with one driver shifted ±10%/±20%</t>
  </si>
  <si>
    <t xml:space="preserve">  Tourist ticket price</t>
  </si>
  <si>
    <t xml:space="preserve">  Local ticket price</t>
  </si>
  <si>
    <t xml:space="preserve">  Premium upsell conversion</t>
  </si>
  <si>
    <t xml:space="preserve">  Cross-pillar conversion</t>
  </si>
  <si>
    <t xml:space="preserve">Each cell uses the ACTUAL revenue formula (3 streams: Ticketing mix-weighted + Premium Upsells + Retail) with ONE driver shifted ±10%/±20%, others at Base.
FOR FULL SCENARIO RECALC: Set master toggle (0·SUMMARY!H7) to BEAR/BULL and read 2·Revenue!E24.</t>
  </si>
  <si>
    <t xml:space="preserve">    Industry Benchmarks · Museum</t>
  </si>
  <si>
    <t xml:space="preserve">    Pixoul vs Casablanca · vs GCC · vs Global</t>
  </si>
  <si>
    <t xml:space="preserve">120-300</t>
  </si>
  <si>
    <t xml:space="preserve">Premium museum urban</t>
  </si>
  <si>
    <t xml:space="preserve">Casa premium ticket</t>
  </si>
  <si>
    <t xml:space="preserve">Premium experience uptake</t>
  </si>
  <si>
    <t xml:space="preserve">Group tour bookings/yr</t>
  </si>
  <si>
    <t xml:space="preserve">100-300</t>
  </si>
  <si>
    <t xml:space="preserve">School + corporate</t>
  </si>
  <si>
    <t xml:space="preserve">Revenue per sqm/yr</t>
  </si>
  <si>
    <t xml:space="preserve">$400-800</t>
  </si>
  <si>
    <t xml:space="preserve">1,000 sqm museum</t>
  </si>
  <si>
    <t xml:space="preserve">◆  POSITIONING  COMMENTARY</t>
  </si>
  <si>
    <t xml:space="preserve">  MUSEUM POSITIONING:
  •  Casa's first interactive gaming + media culture museum — unique brand asset.
  •  Three revenue tiers: Standard tickets + Premium experiences + Group/educational tours.
  •  27% margin is LOW for museum industry but reflects high content + maintenance costs.
  •  Strategic role: Drives perception, anchors media coverage, justifies premium pricing across pillars.
  •  RISK: Conservative revenue assumptions vs GPT $650-700K target — upside if marketing exceeds plan.</t>
  </si>
  <si>
    <t xml:space="preserve">    Master Integration · Museum</t>
  </si>
  <si>
    <t xml:space="preserve">'2·Master Revenue'!D11</t>
  </si>
  <si>
    <t xml:space="preserve">'3·Master Cost'!I11</t>
  </si>
  <si>
    <t xml:space="preserve">'2·Master Revenue'!F11</t>
  </si>
  <si>
    <t xml:space="preserve">'2·Master Revenue'!G11</t>
  </si>
  <si>
    <t xml:space="preserve">'2·Master Revenue'!H11</t>
  </si>
  <si>
    <t xml:space="preserve">'2·Master Revenue'!I11</t>
  </si>
  <si>
    <t xml:space="preserve">'2·Master Revenue'!J11</t>
  </si>
  <si>
    <t xml:space="preserve">  • F&amp;B (07): Museum visitors → $85K/yr F&amp;B spillover (BOOKED IN F&amp;B).
  • Academy (03): Museum visitors → Academy enrollment leads (school programs).
  • Sponsorships (08): Museum zone sponsor (1 of 3 zones).
  • Borderless (09): Museum content → Travelling Exhibitions / Touring.</t>
  </si>
  <si>
    <t xml:space="preserve">  Subleasing · SUMMARY Dashboard</t>
  </si>
  <si>
    <t xml:space="preserve">  Core Sublease (rent arbitrage)</t>
  </si>
  <si>
    <t xml:space="preserve">  Coffee Shop (rent + 8% share)</t>
  </si>
  <si>
    <t xml:space="preserve">  Retail Partners (rent + 15%)</t>
  </si>
  <si>
    <t xml:space="preserve">Subleasing % of Total</t>
  </si>
  <si>
    <t xml:space="preserve">High-margin stability layer. Rent arbitrage + revenue-share retail partners. Lowest capex, highest margin pillar — derisking play.</t>
  </si>
  <si>
    <t xml:space="preserve">  Drivers · Rooftop + Leasable Area · Simple Arbitrage Model</t>
  </si>
  <si>
    <t xml:space="preserve">  500 sqm leasable + Rooftop · Anchor: $700K facility rent / 6,300 sqm = $111.11/sqm own cost</t>
  </si>
  <si>
    <t xml:space="preserve">← Linked to SUMMARY!H7 (BEAR/BASE/BULL)</t>
  </si>
  <si>
    <t xml:space="preserve">  Total facility rent (annual)</t>
  </si>
  <si>
    <t xml:space="preserve">From Master OpEx Facility rent — anchor for $/sqm derivation</t>
  </si>
  <si>
    <t xml:space="preserve">  Total facility area (sqm)</t>
  </si>
  <si>
    <t xml:space="preserve">Total leasable footprint of Medina Lab venue</t>
  </si>
  <si>
    <t xml:space="preserve">  Own rent rate ($/sqm/yr)</t>
  </si>
  <si>
    <t xml:space="preserve">Computed: rent ÷ sqm = $111.11/sqm</t>
  </si>
  <si>
    <t xml:space="preserve">◆  STREAM  1  —  ROOFTOP</t>
  </si>
  <si>
    <t xml:space="preserve">  Rooftop annual rent ($)</t>
  </si>
  <si>
    <t xml:space="preserve">Direct rooftop lease (events/F&amp;B/billboard) — separate area, not in 6,300 sqm</t>
  </si>
  <si>
    <t xml:space="preserve">  Rooftop occupancy %</t>
  </si>
  <si>
    <t xml:space="preserve">Vacancy/transition buffer</t>
  </si>
  <si>
    <t xml:space="preserve">◆  STREAM  2  —  LEASABLE  AREA  (within 6,300 sqm footprint)</t>
  </si>
  <si>
    <t xml:space="preserve">  Leasable area (sqm)</t>
  </si>
  <si>
    <t xml:space="preserve">500 sqm carved out for third-party tenants</t>
  </si>
  <si>
    <t xml:space="preserve">  Markup vs own rent (×)</t>
  </si>
  <si>
    <t xml:space="preserve">1.35× own rate per spec — arbitrage spread</t>
  </si>
  <si>
    <t xml:space="preserve">  Sublease rate ($/sqm/yr)</t>
  </si>
  <si>
    <t xml:space="preserve">Computed: own rate × markup multiplier</t>
  </si>
  <si>
    <t xml:space="preserve">  Leasable occupancy %</t>
  </si>
  <si>
    <t xml:space="preserve">Vacancy buffer for tenant churn</t>
  </si>
  <si>
    <t xml:space="preserve">  Active rooftop rent</t>
  </si>
  <si>
    <t xml:space="preserve">→ Rooftop revenue</t>
  </si>
  <si>
    <t xml:space="preserve">  Active rooftop occupancy %</t>
  </si>
  <si>
    <t xml:space="preserve">  Active leasable area (sqm)</t>
  </si>
  <si>
    <t xml:space="preserve">→ Leasable revenue</t>
  </si>
  <si>
    <t xml:space="preserve">  Active markup multiplier</t>
  </si>
  <si>
    <t xml:space="preserve">→ Leasable rate</t>
  </si>
  <si>
    <t xml:space="preserve">  Active sublease rate ($/sqm)</t>
  </si>
  <si>
    <t xml:space="preserve">Computed: own × markup</t>
  </si>
  <si>
    <t xml:space="preserve">  Active leasable occupancy %</t>
  </si>
  <si>
    <t xml:space="preserve">◆  REVENUE  BUILDS  (active scenario)</t>
  </si>
  <si>
    <t xml:space="preserve">  Rooftop revenue (annual)</t>
  </si>
  <si>
    <t xml:space="preserve">Rooftop rent × occupancy</t>
  </si>
  <si>
    <t xml:space="preserve">  Leasable revenue (annual)</t>
  </si>
  <si>
    <t xml:space="preserve">Area × rate × occupancy</t>
  </si>
  <si>
    <t xml:space="preserve">  TOTAL Subleasing Revenue</t>
  </si>
  <si>
    <t xml:space="preserve">Stream 1 + Stream 2</t>
  </si>
  <si>
    <t xml:space="preserve">◆  COST  DRIVERS  (used by Costs tab)</t>
  </si>
  <si>
    <t xml:space="preserve">  Common area maintenance (annual)</t>
  </si>
  <si>
    <t xml:space="preserve">Cleaning, lighting for leased common areas</t>
  </si>
  <si>
    <t xml:space="preserve">  Lease management / admin (annual)</t>
  </si>
  <si>
    <t xml:space="preserve">Tenant contracts, monthly billing oversight</t>
  </si>
  <si>
    <t xml:space="preserve">  Curation / tenant approval (annual)</t>
  </si>
  <si>
    <t xml:space="preserve">Brand fit reviews — light touch</t>
  </si>
  <si>
    <t xml:space="preserve">  Insurance allocation (annual)</t>
  </si>
  <si>
    <t xml:space="preserve">General liability allocation</t>
  </si>
  <si>
    <t xml:space="preserve">  Tenant turnover reserve (% of rev)</t>
  </si>
  <si>
    <t xml:space="preserve">2% buffer for vacancy transitions</t>
  </si>
  <si>
    <t xml:space="preserve">ℹ  MEMO  —  Arbitrage spread on leasable 500 sqm</t>
  </si>
  <si>
    <t xml:space="preserve">  Own cost on leased area (annual)</t>
  </si>
  <si>
    <t xml:space="preserve">500 sqm × $111.11/sqm = your cost</t>
  </si>
  <si>
    <t xml:space="preserve">  Sublease income (BASE @ 100% occ)</t>
  </si>
  <si>
    <t xml:space="preserve">500 sqm × $150/sqm = $75K</t>
  </si>
  <si>
    <t xml:space="preserve">  Arbitrage spread captured</t>
  </si>
  <si>
    <t xml:space="preserve">$75K - $55,556 = ~$19,444 net of own cost</t>
  </si>
  <si>
    <t xml:space="preserve">    Assumption Register · Subleasing</t>
  </si>
  <si>
    <t xml:space="preserve">Core sublease monthly</t>
  </si>
  <si>
    <t xml:space="preserve">Casa rent benchmark</t>
  </si>
  <si>
    <t xml:space="preserve">Largest single sublease — verify against Casa Class A rates ($X/sqm/mo)</t>
  </si>
  <si>
    <t xml:space="preserve">Coffee shop monthly</t>
  </si>
  <si>
    <t xml:space="preserve">Casa coffee sublet mkt</t>
  </si>
  <si>
    <t xml:space="preserve">Coffee shop tenant — Casa F&amp;B operator demand strong</t>
  </si>
  <si>
    <t xml:space="preserve">Retail kiosk #1 monthly</t>
  </si>
  <si>
    <t xml:space="preserve">Casa retail kiosk rate</t>
  </si>
  <si>
    <t xml:space="preserve">Retail kiosk #1 — Casa retail demand for footfall sites</t>
  </si>
  <si>
    <t xml:space="preserve">Retail kiosk #2 monthly</t>
  </si>
  <si>
    <t xml:space="preserve">Retail kiosk #2 — UNVALIDATED tenant pipeline</t>
  </si>
  <si>
    <t xml:space="preserve">Retail kiosk #3 monthly</t>
  </si>
  <si>
    <t xml:space="preserve">Retail kiosk #3 — UNVALIDATED tenant pipeline; Bear case may need fewer kiosks</t>
  </si>
  <si>
    <t xml:space="preserve">Annual rent escalation</t>
  </si>
  <si>
    <t xml:space="preserve">Lease standard</t>
  </si>
  <si>
    <t xml:space="preserve">Annual rent escalation — Casa CPI ~2-3%</t>
  </si>
  <si>
    <t xml:space="preserve">Common area maintenance</t>
  </si>
  <si>
    <t xml:space="preserve">Operations estimate</t>
  </si>
  <si>
    <t xml:space="preserve">⚠ Common area maintenance — at 19.7% cost ratio, this is HIGH (industry norm 5-15%)</t>
  </si>
  <si>
    <t xml:space="preserve">No inventory</t>
  </si>
  <si>
    <t xml:space="preserve">Pass-through model — minimal inventory</t>
  </si>
  <si>
    <t xml:space="preserve">Tenants prepay</t>
  </si>
  <si>
    <t xml:space="preserve">Tenant rent receivables — typically prepaid/short cycle</t>
  </si>
  <si>
    <t xml:space="preserve">Tenant responsibility</t>
  </si>
  <si>
    <t xml:space="preserve">Pass-through — landlord refresh minimal</t>
  </si>
  <si>
    <t xml:space="preserve">  Revenue Build · 2 Streams (Rooftop + Leasable Area)</t>
  </si>
  <si>
    <t xml:space="preserve">  Rooftop direct lease + Leasable 500 sqm @ 1.35× own rent</t>
  </si>
  <si>
    <t xml:space="preserve">◆  STREAM  1  —  ROOFTOP  (direct lease)</t>
  </si>
  <si>
    <t xml:space="preserve">Rent</t>
  </si>
  <si>
    <t xml:space="preserve">Occupancy</t>
  </si>
  <si>
    <t xml:space="preserve">  Rooftop</t>
  </si>
  <si>
    <t xml:space="preserve">Rent × occupancy</t>
  </si>
  <si>
    <t xml:space="preserve">  Rooftop SUBTOTAL</t>
  </si>
  <si>
    <t xml:space="preserve">◆  STREAM  2  —  LEASABLE  AREA  (500 sqm @ 1.35× own rate)</t>
  </si>
  <si>
    <t xml:space="preserve">Area sqm</t>
  </si>
  <si>
    <t xml:space="preserve">$/sqm</t>
  </si>
  <si>
    <t xml:space="preserve">  Leasable area</t>
  </si>
  <si>
    <t xml:space="preserve">  Leasable SUBTOTAL</t>
  </si>
  <si>
    <t xml:space="preserve">◆  TOTAL  SUBLEASING  REVENUE  (Y4 mature)</t>
  </si>
  <si>
    <t xml:space="preserve">  TOTAL SUBLEASING REVENUE</t>
  </si>
  <si>
    <t xml:space="preserve">  Leasable area (500 sqm)</t>
  </si>
  <si>
    <t xml:space="preserve">◆  ARBITRAGE  SPREAD  CHECK</t>
  </si>
  <si>
    <t xml:space="preserve">  Own cost on leased area</t>
  </si>
  <si>
    <t xml:space="preserve">Sqm × own rent rate</t>
  </si>
  <si>
    <t xml:space="preserve">  Sublease income from leased area</t>
  </si>
  <si>
    <t xml:space="preserve">Sqm × subleased rate</t>
  </si>
  <si>
    <t xml:space="preserve">  Net arbitrage captured</t>
  </si>
  <si>
    <t xml:space="preserve">Spread (own cost stays in Master OpEx)</t>
  </si>
  <si>
    <t xml:space="preserve">  ⓘ Endpoint for Master Cost ratio</t>
  </si>
  <si>
    <t xml:space="preserve">Backward-compat: Master Cost C12 references E30</t>
  </si>
  <si>
    <t xml:space="preserve">  Direct Costs · Light (high-margin pass-through)</t>
  </si>
  <si>
    <t xml:space="preserve">  Maintenance + lease admin + curation oversight + 2% turnover reserve</t>
  </si>
  <si>
    <t xml:space="preserve">  Common area maintenance</t>
  </si>
  <si>
    <t xml:space="preserve">Cleaning, lighting common spaces</t>
  </si>
  <si>
    <t xml:space="preserve">  Lease management / admin</t>
  </si>
  <si>
    <t xml:space="preserve">Tenant management + contracts</t>
  </si>
  <si>
    <t xml:space="preserve">  Curation oversight</t>
  </si>
  <si>
    <t xml:space="preserve">Brand approval audits</t>
  </si>
  <si>
    <t xml:space="preserve">  Insurance (allocated)</t>
  </si>
  <si>
    <t xml:space="preserve">  Tenant turnover reserve</t>
  </si>
  <si>
    <t xml:space="preserve">2% of revenue buffer</t>
  </si>
  <si>
    <t xml:space="preserve">  Payment collection cost</t>
  </si>
  <si>
    <t xml:space="preserve">⚠ MOVED to Master Cost C50 ($84K centralized)</t>
  </si>
  <si>
    <t xml:space="preserve">  ⓘ TOTAL Endpoint (mirror of C14 for Master Cost link)</t>
  </si>
  <si>
    <t xml:space="preserve">◆  EBITDA  (high-margin stability layer · target 80-90%)</t>
  </si>
  <si>
    <t xml:space="preserve">  EBITDA</t>
  </si>
  <si>
    <t xml:space="preserve">Target: 90%+ (high-margin stability)</t>
  </si>
  <si>
    <t xml:space="preserve">    Eight-Year Projection · Subleasing</t>
  </si>
  <si>
    <t xml:space="preserve">    Profit &amp; Loss · Subleasing</t>
  </si>
  <si>
    <t xml:space="preserve">    Cash Flow Forecast · Subleasing</t>
  </si>
  <si>
    <t xml:space="preserve">  Unit Economics · Per Sqm · Per Partner</t>
  </si>
  <si>
    <t xml:space="preserve">  Yield analysis · Stream contribution</t>
  </si>
  <si>
    <t xml:space="preserve">◆  PER-SQM  ECONOMICS  (300 sqm total)</t>
  </si>
  <si>
    <t xml:space="preserve">  Total subleased area (sqm)</t>
  </si>
  <si>
    <t xml:space="preserve">500 sqm leasable area within 6,300 sqm footprint (rooftop separate)</t>
  </si>
  <si>
    <t xml:space="preserve">  Avg revenue per sqm</t>
  </si>
  <si>
    <t xml:space="preserve">Total revenue ÷ total sqm</t>
  </si>
  <si>
    <t xml:space="preserve">  Avg cost per sqm</t>
  </si>
  <si>
    <t xml:space="preserve">Total costs ÷ total sqm</t>
  </si>
  <si>
    <t xml:space="preserve">  EBITDA per sqm</t>
  </si>
  <si>
    <t xml:space="preserve">EBITDA ÷ total sqm</t>
  </si>
  <si>
    <t xml:space="preserve">◆  PER-STREAM  YIELD</t>
  </si>
  <si>
    <t xml:space="preserve">Rooftop direct lease + occupancy</t>
  </si>
  <si>
    <t xml:space="preserve">  Rooftop $/yr (not per sqm — separate area)</t>
  </si>
  <si>
    <t xml:space="preserve">Rooftop annual rent</t>
  </si>
  <si>
    <t xml:space="preserve">  Leasable area revenue (annual)</t>
  </si>
  <si>
    <t xml:space="preserve">Leasable 500 sqm revenue</t>
  </si>
  <si>
    <t xml:space="preserve">  Leasable area $/sqm/yr</t>
  </si>
  <si>
    <t xml:space="preserve">Sublease rate per sqm (1.35× own rent)</t>
  </si>
  <si>
    <t xml:space="preserve">  Spread arbitrage on leasable area ($/sqm/yr)</t>
  </si>
  <si>
    <t xml:space="preserve">Sublease rate - own rent rate = arbitrage spread</t>
  </si>
  <si>
    <t xml:space="preserve">Light (10-15% target)</t>
  </si>
  <si>
    <t xml:space="preserve">Subleasing target: 80-90%</t>
  </si>
  <si>
    <t xml:space="preserve">  Required tenant performance to cover fixed costs · Margin of safety</t>
  </si>
  <si>
    <t xml:space="preserve">◆  TENANT  RESILIENCE</t>
  </si>
  <si>
    <t xml:space="preserve">  Revenue per active stream (Rooftop + Leasable, avg)</t>
  </si>
  <si>
    <t xml:space="preserve">Average across 2 streams (Rooftop, Leasable)</t>
  </si>
  <si>
    <t xml:space="preserve">  Streams active at Base (both Rooftop + Leasable)</t>
  </si>
  <si>
    <t xml:space="preserve">Rooftop + Leasable area = 2 streams</t>
  </si>
  <si>
    <t xml:space="preserve">  Single-stream failure tolerance</t>
  </si>
  <si>
    <t xml:space="preserve">Test: can each stream cover breakeven alone?</t>
  </si>
  <si>
    <t xml:space="preserve">  ⓘ Subleasing has structurally low risk — multiple tenants + base rent floor + revenue share upside.</t>
  </si>
  <si>
    <t xml:space="preserve">    Capacity Ceiling · Subleasing</t>
  </si>
  <si>
    <t xml:space="preserve">Anchor sublease</t>
  </si>
  <si>
    <t xml:space="preserve">Single anchor tenant slot</t>
  </si>
  <si>
    <t xml:space="preserve">Coffee shop</t>
  </si>
  <si>
    <t xml:space="preserve">Single coffee operator</t>
  </si>
  <si>
    <t xml:space="preserve">Retail kiosks</t>
  </si>
  <si>
    <t xml:space="preserve">3 fixed kiosk slots</t>
  </si>
  <si>
    <t xml:space="preserve">Storage units</t>
  </si>
  <si>
    <t xml:space="preserve">No additional capacity</t>
  </si>
  <si>
    <t xml:space="preserve">  SUBLEASING CAPACITY:
  •  Limited by physical space — 1 anchor tenant + 1 coffee + 3 retail kiosks.
  •  All slots assumed filled — no upside without venue expansion.
  •  Bull case: Premium tenant (anchor brand) + retail rent escalation → 50% revenue lift.
  •  Most stable pillar — minimal operational risk.</t>
  </si>
  <si>
    <t xml:space="preserve">    Operating KPIs · Subleasing</t>
  </si>
  <si>
    <t xml:space="preserve">Occupancy %</t>
  </si>
  <si>
    <t xml:space="preserve">Active leases / total</t>
  </si>
  <si>
    <t xml:space="preserve">On-time payment rate %</t>
  </si>
  <si>
    <t xml:space="preserve">&lt;92%</t>
  </si>
  <si>
    <t xml:space="preserve">Finance</t>
  </si>
  <si>
    <t xml:space="preserve">Payment tracking</t>
  </si>
  <si>
    <t xml:space="preserve">Avg rent collection days</t>
  </si>
  <si>
    <t xml:space="preserve">&gt;15</t>
  </si>
  <si>
    <t xml:space="preserve">Days outstanding</t>
  </si>
  <si>
    <t xml:space="preserve">Tenant churn rate</t>
  </si>
  <si>
    <t xml:space="preserve">&gt;20%</t>
  </si>
  <si>
    <t xml:space="preserve">Annual</t>
  </si>
  <si>
    <t xml:space="preserve">Lease renewal tracking</t>
  </si>
  <si>
    <t xml:space="preserve">Maintenance issues/mo</t>
  </si>
  <si>
    <t xml:space="preserve">&gt;5</t>
  </si>
  <si>
    <t xml:space="preserve">Tenant complaints</t>
  </si>
  <si>
    <t xml:space="preserve">Avg tenant tenure (yr)</t>
  </si>
  <si>
    <t xml:space="preserve">&lt;1.5</t>
  </si>
  <si>
    <t xml:space="preserve">Lease history</t>
  </si>
  <si>
    <t xml:space="preserve">  Rooftop revenue</t>
  </si>
  <si>
    <t xml:space="preserve">  Leasable area revenue</t>
  </si>
  <si>
    <t xml:space="preserve">  Sublease markup %</t>
  </si>
  <si>
    <t xml:space="preserve">  Coffee shop revenue</t>
  </si>
  <si>
    <t xml:space="preserve">  Coffee shop share %</t>
  </si>
  <si>
    <t xml:space="preserve">  Candy shop revenue</t>
  </si>
  <si>
    <t xml:space="preserve">  Toy store revenue</t>
  </si>
  <si>
    <t xml:space="preserve">  Electronics revenue</t>
  </si>
  <si>
    <t xml:space="preserve">  Retail share % (all 3)</t>
  </si>
  <si>
    <t xml:space="preserve">Each cell uses ACTUAL revenue formula (3 streams: Core Sublease + Coffee Shop + Retail Partners) with ONE driver shifted ±10%/±20%, others at Base.
FOR FULL SCENARIO RECALC: Set master toggle (0·SUMMARY!H7) to BEAR/BULL.</t>
  </si>
  <si>
    <t xml:space="preserve">    Industry Benchmarks · Subleasing</t>
  </si>
  <si>
    <t xml:space="preserve">Core sublease revenue</t>
  </si>
  <si>
    <t xml:space="preserve">$25-35K</t>
  </si>
  <si>
    <t xml:space="preserve">Casa retail rent / sqm</t>
  </si>
  <si>
    <t xml:space="preserve">Coffee shop revenue</t>
  </si>
  <si>
    <t xml:space="preserve">Casa coffee shop sublet</t>
  </si>
  <si>
    <t xml:space="preserve">Retail kiosks revenue</t>
  </si>
  <si>
    <t xml:space="preserve">3 kiosks × Casa rates</t>
  </si>
  <si>
    <t xml:space="preserve">Total occupancy %</t>
  </si>
  <si>
    <t xml:space="preserve">95-100%</t>
  </si>
  <si>
    <t xml:space="preserve">Industry target</t>
  </si>
  <si>
    <t xml:space="preserve">85-95%</t>
  </si>
  <si>
    <t xml:space="preserve">Pass-through subleasing</t>
  </si>
  <si>
    <t xml:space="preserve">200 sqm subleased</t>
  </si>
  <si>
    <t xml:space="preserve">  SUBLEASING POSITIONING:
  •  Pure pass-through: rent space → recoup at premium → minimal own cost.
  •  Streams: Core sublease (anchor tenant) + Coffee shop + 3 retail kiosks.
  •  80% margin is industry-standard for pass-through subleasing.
  •  Strategic role: STABILITY LAYER — predictable monthly cash that covers fixed venue overhead.
  •  Lowers operating leverage risk — even in Bear case, $54K base covers $50K monthly fixed cost.</t>
  </si>
  <si>
    <t xml:space="preserve">    Master Integration · Subleasing</t>
  </si>
  <si>
    <t xml:space="preserve">'2·Master Revenue'!D12</t>
  </si>
  <si>
    <t xml:space="preserve">'3·Master Cost'!I12</t>
  </si>
  <si>
    <t xml:space="preserve">'2·Master Revenue'!F12</t>
  </si>
  <si>
    <t xml:space="preserve">'2·Master Revenue'!G12</t>
  </si>
  <si>
    <t xml:space="preserve">'2·Master Revenue'!H12</t>
  </si>
  <si>
    <t xml:space="preserve">'2·Master Revenue'!I12</t>
  </si>
  <si>
    <t xml:space="preserve">'2·Master Revenue'!J12</t>
  </si>
  <si>
    <t xml:space="preserve">  • Stability layer — minimal cross-pillar dependencies.
  • Anchor sublease tenant → adds to venue traffic (may benefit F&amp;B).
  • Coffee shop sublet → could conflict with F&amp;B cafeteria — check positioning.</t>
  </si>
  <si>
    <t xml:space="preserve">  F&amp;B · SUMMARY Dashboard</t>
  </si>
  <si>
    <t xml:space="preserve">  Cafeteria (Gaming+Academy+Esports)</t>
  </si>
  <si>
    <t xml:space="preserve">  Internal Catering</t>
  </si>
  <si>
    <t xml:space="preserve">  Events Catering (cross-pillar)</t>
  </si>
  <si>
    <t xml:space="preserve">  External Corporate Catering</t>
  </si>
  <si>
    <t xml:space="preserve">  Online Orders (Glovo/Jumia)</t>
  </si>
  <si>
    <t xml:space="preserve">F&amp;B % of Total</t>
  </si>
  <si>
    <t xml:space="preserve">Volume play: 5 streams from internal cross-pillar traffic + external catering + delivery platforms. Cross-pillar attached attach-rate makes Pixoul ecosystem stickier.</t>
  </si>
  <si>
    <t xml:space="preserve">  Drivers · Cross-Pillar TAM · Demand Engines</t>
  </si>
  <si>
    <t xml:space="preserve">  Cross-pillar inputs HARDCODED · Conversion + spend toggle-driven · Strict no-double-count</t>
  </si>
  <si>
    <t xml:space="preserve">🎯  SCENARIO  LOOKUP  TABLE  —  conversion % + spend per pillar</t>
  </si>
  <si>
    <t xml:space="preserve">  GAMING — conversion to F&amp;B %</t>
  </si>
  <si>
    <t xml:space="preserve">% of Gaming visitors who buy F&amp;B</t>
  </si>
  <si>
    <t xml:space="preserve">  GAMING — avg spend per visit ($)</t>
  </si>
  <si>
    <t xml:space="preserve">Snack/drink during visit</t>
  </si>
  <si>
    <t xml:space="preserve">  ESPORTS — spend per utilized hour ($)</t>
  </si>
  <si>
    <t xml:space="preserve">Drinks during gaming sessions</t>
  </si>
  <si>
    <t xml:space="preserve">  ACADEMY — conversion to F&amp;B %</t>
  </si>
  <si>
    <t xml:space="preserve">% of academy students who buy F&amp;B</t>
  </si>
  <si>
    <t xml:space="preserve">  ACADEMY — avg spend per visit ($)</t>
  </si>
  <si>
    <t xml:space="preserve">Snack/drink per session</t>
  </si>
  <si>
    <t xml:space="preserve">  ACADEMY — visits per student per month</t>
  </si>
  <si>
    <t xml:space="preserve">Avg attendance</t>
  </si>
  <si>
    <t xml:space="preserve">  EVENTS — conversion to F&amp;B %</t>
  </si>
  <si>
    <t xml:space="preserve">Reframed: % of event attendees catered by F&amp;B (vs external caterer or no catering). Reflects attribution split with Events Hall (30% retained for event packages).</t>
  </si>
  <si>
    <t xml:space="preserve">% event attendees who buy F&amp;B</t>
  </si>
  <si>
    <t xml:space="preserve">  EVENTS — avg spend per attendee ($)</t>
  </si>
  <si>
    <t xml:space="preserve">Aligned to Events Hall $10/head (Events·Drivers C25 active)  · Bear $7, Bull $14</t>
  </si>
  <si>
    <t xml:space="preserve">Premium event catering spend</t>
  </si>
  <si>
    <t xml:space="preserve">  INTERNAL CATERING — Academy birthdays/mo</t>
  </si>
  <si>
    <t xml:space="preserve">Kids birthday parties using academy</t>
  </si>
  <si>
    <t xml:space="preserve">  INTERNAL CATERING — avg party value ($)</t>
  </si>
  <si>
    <t xml:space="preserve">Per party (cake + snacks + drinks)</t>
  </si>
  <si>
    <t xml:space="preserve">  INTERNAL CATERING — internal events/mo</t>
  </si>
  <si>
    <t xml:space="preserve">Pixoul team meetings, partner events</t>
  </si>
  <si>
    <t xml:space="preserve">  INTERNAL CATERING — avg internal event ($)</t>
  </si>
  <si>
    <t xml:space="preserve">Per internal event</t>
  </si>
  <si>
    <t xml:space="preserve">  EXTERNAL CATERING — events/month</t>
  </si>
  <si>
    <t xml:space="preserve">Outside corporate clients</t>
  </si>
  <si>
    <t xml:space="preserve">  EXTERNAL CATERING — avg guests/event</t>
  </si>
  <si>
    <t xml:space="preserve">Per external event</t>
  </si>
  <si>
    <t xml:space="preserve">  EXTERNAL CATERING — price per head ($)</t>
  </si>
  <si>
    <t xml:space="preserve">Casa premium catering rate</t>
  </si>
  <si>
    <t xml:space="preserve">◆  CROSS-PILLAR  TAM  (HARDCODED current pillar Base values · LIVE LINK in Master)</t>
  </si>
  <si>
    <t xml:space="preserve">From Pillar 01 Gaming Hall (900 weekly × 52 wks)</t>
  </si>
  <si>
    <t xml:space="preserve">  Esports Lounge — utilized hours/year</t>
  </si>
  <si>
    <t xml:space="preserve">From Pillar 04 Esports (6,480 mo × 12) at Base 30% util</t>
  </si>
  <si>
    <t xml:space="preserve">Live link to Events Hall capacity model · was hardcoded 31,200 (3.4× operational ceiling) · v47 fix</t>
  </si>
  <si>
    <t xml:space="preserve">From Pillar 02 Events (26 events/mo × 100 attendees × 12)</t>
  </si>
  <si>
    <t xml:space="preserve">  Active Gaming conversion %</t>
  </si>
  <si>
    <t xml:space="preserve">→ Cafeteria stream</t>
  </si>
  <si>
    <t xml:space="preserve">  Active Gaming spend/visit</t>
  </si>
  <si>
    <t xml:space="preserve">  Active Esports spend/hour</t>
  </si>
  <si>
    <t xml:space="preserve">  Active Academy conversion %</t>
  </si>
  <si>
    <t xml:space="preserve">  Active Academy spend/visit</t>
  </si>
  <si>
    <t xml:space="preserve">  Active Academy visits/student/mo</t>
  </si>
  <si>
    <t xml:space="preserve">  Active Events conversion %</t>
  </si>
  <si>
    <t xml:space="preserve">→ Events Catering</t>
  </si>
  <si>
    <t xml:space="preserve">  Active Events spend/attendee</t>
  </si>
  <si>
    <t xml:space="preserve">  Active Birthdays/mo</t>
  </si>
  <si>
    <t xml:space="preserve">→ Internal Catering</t>
  </si>
  <si>
    <t xml:space="preserve">  Active Birthday party value</t>
  </si>
  <si>
    <t xml:space="preserve">  Active Internal events/mo</t>
  </si>
  <si>
    <t xml:space="preserve">  Active Internal event value</t>
  </si>
  <si>
    <t xml:space="preserve">  Active External events/mo</t>
  </si>
  <si>
    <t xml:space="preserve">→ External Catering</t>
  </si>
  <si>
    <t xml:space="preserve">  Active External guests/event</t>
  </si>
  <si>
    <t xml:space="preserve">  Active External price/head</t>
  </si>
  <si>
    <t xml:space="preserve">◆  DEMAND  ENGINES  (annual covers + revenue per stream)</t>
  </si>
  <si>
    <t xml:space="preserve">  Gaming F&amp;B covers/year</t>
  </si>
  <si>
    <t xml:space="preserve">Visitors × conversion %</t>
  </si>
  <si>
    <t xml:space="preserve">  Academy F&amp;B covers/year</t>
  </si>
  <si>
    <t xml:space="preserve">Students × conv × visits/mo × 12</t>
  </si>
  <si>
    <t xml:space="preserve">  Esports F&amp;B 'covers' (utilized hrs)</t>
  </si>
  <si>
    <t xml:space="preserve">25% F&amp;B attach to utilized hours (only 1 in 4 utilized hours produces F&amp;B order)</t>
  </si>
  <si>
    <t xml:space="preserve">All utilized hours generate F&amp;B</t>
  </si>
  <si>
    <t xml:space="preserve">  Events F&amp;B covers/year</t>
  </si>
  <si>
    <t xml:space="preserve">Attendees × conversion %</t>
  </si>
  <si>
    <t xml:space="preserve">  External catering covers/year</t>
  </si>
  <si>
    <t xml:space="preserve">Events × guests × 12</t>
  </si>
  <si>
    <t xml:space="preserve">  TOTAL F&amp;B covers/year</t>
  </si>
  <si>
    <t xml:space="preserve">Sum of all covers (excludes Esports hours which scale differently)</t>
  </si>
  <si>
    <t xml:space="preserve">  Cafeteria — Gaming revenue</t>
  </si>
  <si>
    <t xml:space="preserve">Covers × spend</t>
  </si>
  <si>
    <t xml:space="preserve">  Cafeteria — Academy revenue</t>
  </si>
  <si>
    <t xml:space="preserve">  Cafeteria — Esports revenue</t>
  </si>
  <si>
    <t xml:space="preserve">Hours × spend/hr</t>
  </si>
  <si>
    <t xml:space="preserve">  Cafeteria SUBTOTAL</t>
  </si>
  <si>
    <t xml:space="preserve">Gaming + Academy + Esports</t>
  </si>
  <si>
    <t xml:space="preserve">  Internal Catering — Birthdays</t>
  </si>
  <si>
    <t xml:space="preserve">Parties × value × 12</t>
  </si>
  <si>
    <t xml:space="preserve">  Internal Catering — Internal events</t>
  </si>
  <si>
    <t xml:space="preserve">Events × value × 12</t>
  </si>
  <si>
    <t xml:space="preserve">  Internal Catering SUBTOTAL</t>
  </si>
  <si>
    <t xml:space="preserve">Birthdays + Internal</t>
  </si>
  <si>
    <t xml:space="preserve">  Events Catering revenue</t>
  </si>
  <si>
    <t xml:space="preserve">Covers × spend (was in Events Hall)</t>
  </si>
  <si>
    <t xml:space="preserve">  External Catering revenue</t>
  </si>
  <si>
    <t xml:space="preserve">Covers × price/head</t>
  </si>
  <si>
    <t xml:space="preserve">  COGS  (% of revenue per stream)</t>
  </si>
  <si>
    <t xml:space="preserve">    Cafeteria COGS %</t>
  </si>
  <si>
    <t xml:space="preserve">Drinks heavy → ~32% COGS</t>
  </si>
  <si>
    <t xml:space="preserve">    Internal Catering COGS %</t>
  </si>
  <si>
    <t xml:space="preserve">Mid-range — labor light</t>
  </si>
  <si>
    <t xml:space="preserve">    Events Catering COGS %</t>
  </si>
  <si>
    <t xml:space="preserve">Premium menu — efficient sourcing</t>
  </si>
  <si>
    <t xml:space="preserve">    External Catering COGS %</t>
  </si>
  <si>
    <t xml:space="preserve">Standard external rate</t>
  </si>
  <si>
    <t xml:space="preserve">    Online Orders COGS %</t>
  </si>
  <si>
    <t xml:space="preserve">Slightly higher (packaging incl) — applied to GROSS not NET revenue</t>
  </si>
  <si>
    <t xml:space="preserve">    Head chef (1 FTE, annual)</t>
  </si>
  <si>
    <t xml:space="preserve">Casablanca head chef for multi-stream operation (cafeteria + catering + online): $36-48K market range. $40K mid-range.</t>
  </si>
  <si>
    <t xml:space="preserve">Senior FTE — Casa rate fully loaded</t>
  </si>
  <si>
    <t xml:space="preserve">    Sous chef (1 FTE, annual)</t>
  </si>
  <si>
    <t xml:space="preserve">$1,800/mo × 12</t>
  </si>
  <si>
    <t xml:space="preserve">    Kitchen staff (4 FTE, annual)</t>
  </si>
  <si>
    <t xml:space="preserve">4 × $1,000/mo × 12 (scaled for $1.5M+ Y4 volume)</t>
  </si>
  <si>
    <t xml:space="preserve">    Service staff (3 FTE, annual)</t>
  </si>
  <si>
    <t xml:space="preserve">3 × $900/mo × 12 (scaled for CFC + cafeteria volume)</t>
  </si>
  <si>
    <t xml:space="preserve">$72K equipment × 3yr life</t>
  </si>
  <si>
    <t xml:space="preserve">    Cleaning + sanitation</t>
  </si>
  <si>
    <t xml:space="preserve">Daily commercial cleaning for kitchen + cafeteria + dining area in Casablanca: $1,500/mo realistic</t>
  </si>
  <si>
    <t xml:space="preserve">Daily cleaning service</t>
  </si>
  <si>
    <t xml:space="preserve">    Licenses + permits</t>
  </si>
  <si>
    <t xml:space="preserve">Health, food handling, alcohol, equipment liability (scaled for $1.5M ops)</t>
  </si>
  <si>
    <t xml:space="preserve">    Marketing + branding</t>
  </si>
  <si>
    <t xml:space="preserve">Pillar share</t>
  </si>
  <si>
    <t xml:space="preserve">    Online ops + packer (1 FTE, annual)</t>
  </si>
  <si>
    <t xml:space="preserve">1 × $900/mo × 12 (online order fulfillment + packing)</t>
  </si>
  <si>
    <t xml:space="preserve">    Online marketing + driver coverage (annual)</t>
  </si>
  <si>
    <t xml:space="preserve">Paid acquisition + Glovo/Jumia listings + driver tips (right-sized for 125 orders/day)</t>
  </si>
  <si>
    <t xml:space="preserve">    Packaging per cover</t>
  </si>
  <si>
    <t xml:space="preserve">Cups, napkins, takeaway</t>
  </si>
  <si>
    <t xml:space="preserve">Card fees</t>
  </si>
  <si>
    <t xml:space="preserve">    Bookkeeping + admin + equipment maintenance</t>
  </si>
  <si>
    <t xml:space="preserve">Outsourced accounting + payroll + repairs/maintenance reserves</t>
  </si>
  <si>
    <t xml:space="preserve">    Variable supplies per cover</t>
  </si>
  <si>
    <t xml:space="preserve">Condiments, refills, spillage</t>
  </si>
  <si>
    <t xml:space="preserve">    F&amp;B in-store marketing (CFC + branding)</t>
  </si>
  <si>
    <t xml:space="preserve">CFC outreach, signage, lunch promotions</t>
  </si>
  <si>
    <t xml:space="preserve">    F&amp;B operations manager (1 FTE)</t>
  </si>
  <si>
    <t xml:space="preserve">Frees head chef to cook · ops + scheduling + vendor mgmt</t>
  </si>
  <si>
    <t xml:space="preserve">    Bookkeeping + maintenance + reserves</t>
  </si>
  <si>
    <t xml:space="preserve">Reduced from $60K (was double-counting bookkeeping with Master Cost C43 Finance/Accounting $80K). Now: maintenance + reserves only.</t>
  </si>
  <si>
    <t xml:space="preserve">Outsourced accounting + payroll + equipment maintenance + operational reserves</t>
  </si>
  <si>
    <t xml:space="preserve">◆  STRATEGIC  PIVOT  —  CFC  EXTERNAL  +  ONLINE  ORDERS  (added per Toufic spec)</t>
  </si>
  <si>
    <t xml:space="preserve">  CFC  External  Daily  Traffic</t>
  </si>
  <si>
    <t xml:space="preserve">    CFC daily customers (lunch)</t>
  </si>
  <si>
    <t xml:space="preserve">CFC = Casablanca Food Court external lunch traffic. 120/day = realistic for destination venue without prime street frontage. Bull case 220 requires brand awareness building.</t>
  </si>
  <si>
    <t xml:space="preserve">1% capture of 25,000+ CFC daily professionals at Base</t>
  </si>
  <si>
    <t xml:space="preserve">    CFC avg spend per visit ($)</t>
  </si>
  <si>
    <t xml:space="preserve">Lunch average — premium positioning</t>
  </si>
  <si>
    <t xml:space="preserve">    CFC operating days/year</t>
  </si>
  <si>
    <t xml:space="preserve">Weekday lunch service (excl. holidays)</t>
  </si>
  <si>
    <t xml:space="preserve">  Online  Orders  (Glovo / Jumia / Careem)</t>
  </si>
  <si>
    <t xml:space="preserve">    Online orders/day (avg)</t>
  </si>
  <si>
    <t xml:space="preserve">60 orders/day = MENA platform median. 130 Bull case requires year-round ad spend + 4.5+ rating. Glovo/Jumia/Careem mix.</t>
  </si>
  <si>
    <t xml:space="preserve">Conservative ramp — Casa Y1-3 across Glovo+Jumia+Careem</t>
  </si>
  <si>
    <t xml:space="preserve">    Online avg ticket ($)</t>
  </si>
  <si>
    <t xml:space="preserve">Casa delivery avg ticket</t>
  </si>
  <si>
    <t xml:space="preserve">    Online operating days/year</t>
  </si>
  <si>
    <t xml:space="preserve">Year-round minus major holidays</t>
  </si>
  <si>
    <t xml:space="preserve">    Online platform commission %</t>
  </si>
  <si>
    <t xml:space="preserve">Real Casablanca rates: Glovo 30%, Jumia 32%, Careem 28%. 30% blended is realistic. Negotiated lower rates only at &gt;$1M annual GMV.</t>
  </si>
  <si>
    <t xml:space="preserve">Glovo/Jumia take rate — negotiated</t>
  </si>
  <si>
    <t xml:space="preserve">  Esports  Events  Catering  (per spec)</t>
  </si>
  <si>
    <t xml:space="preserve">    Esports tournaments with catering/yr</t>
  </si>
  <si>
    <t xml:space="preserve">From Pillar 04 esports tournaments (12/mo × 12 × 50% catered Base)</t>
  </si>
  <si>
    <t xml:space="preserve">    Esports event avg attendees</t>
  </si>
  <si>
    <t xml:space="preserve">Tournament participants + spectators</t>
  </si>
  <si>
    <t xml:space="preserve">    Esports event spend per attendee ($)</t>
  </si>
  <si>
    <t xml:space="preserve">Snacks/drinks/quick meals during tournament</t>
  </si>
  <si>
    <t xml:space="preserve">◆  ACTIVE  OUTPUTS  —  STRATEGIC  PIVOT  DRIVERS</t>
  </si>
  <si>
    <t xml:space="preserve">  Active CFC daily customers</t>
  </si>
  <si>
    <t xml:space="preserve">→ Cafeteria External</t>
  </si>
  <si>
    <t xml:space="preserve">  Active CFC avg spend</t>
  </si>
  <si>
    <t xml:space="preserve">  Active CFC days/year</t>
  </si>
  <si>
    <t xml:space="preserve">  Active Online orders/day</t>
  </si>
  <si>
    <t xml:space="preserve">→ Online Orders stream</t>
  </si>
  <si>
    <t xml:space="preserve">  Active Online avg ticket</t>
  </si>
  <si>
    <t xml:space="preserve">  Active Online days/year</t>
  </si>
  <si>
    <t xml:space="preserve">  Active Online platform commission</t>
  </si>
  <si>
    <t xml:space="preserve">→ Online Orders NET revenue</t>
  </si>
  <si>
    <t xml:space="preserve">  Active esports events/yr</t>
  </si>
  <si>
    <t xml:space="preserve">  Active esports avg attendees</t>
  </si>
  <si>
    <t xml:space="preserve">  Active esports spend/attendee</t>
  </si>
  <si>
    <t xml:space="preserve">◆  STRATEGIC  PIVOT  REVENUE  COMPONENTS</t>
  </si>
  <si>
    <t xml:space="preserve">  CFC External Cafeteria revenue</t>
  </si>
  <si>
    <t xml:space="preserve">Daily customers × avg spend × operating days/year</t>
  </si>
  <si>
    <t xml:space="preserve">  Online Orders GROSS revenue</t>
  </si>
  <si>
    <t xml:space="preserve">Orders/day × ticket × days/year (before platform fees)</t>
  </si>
  <si>
    <t xml:space="preserve">  Online Orders platform fees (deducted)</t>
  </si>
  <si>
    <t xml:space="preserve">Glovo/Jumia commission</t>
  </si>
  <si>
    <t xml:space="preserve">  Online Orders NET revenue</t>
  </si>
  <si>
    <t xml:space="preserve">After platform commission — bookable revenue</t>
  </si>
  <si>
    <t xml:space="preserve">  Esports events catering revenue</t>
  </si>
  <si>
    <t xml:space="preserve">Esports events × attendees × spend (rolled into Events Catering)</t>
  </si>
  <si>
    <t xml:space="preserve">  Playground-driven F&amp;B uplift (NEW)</t>
  </si>
  <si>
    <t xml:space="preserve">Driver of $25K F&amp;B uplift from Playground families · 7,020 visits × $3.50 incremental spend</t>
  </si>
  <si>
    <t xml:space="preserve">    Playground visits/yr (= Gaming Playground)</t>
  </si>
  <si>
    <t xml:space="preserve">    Incremental F&amp;B spend per visit</t>
  </si>
  <si>
    <t xml:space="preserve">Coffee + snack while kids play · conservative estimate</t>
  </si>
  <si>
    <t xml:space="preserve">  Assumptions · F&amp;B</t>
  </si>
  <si>
    <t xml:space="preserve">  All assumptions · sources · confidence (PENDING REVIEW)</t>
  </si>
  <si>
    <t xml:space="preserve">⚠  CONFIDENCE column: please review and edit each row to: HIGH / MEDIUM / LOW</t>
  </si>
  <si>
    <t xml:space="preserve">◆  ASSUMPTIONS  REGISTER</t>
  </si>
  <si>
    <t xml:space="preserve">  Cafeteria base traffic</t>
  </si>
  <si>
    <t xml:space="preserve">  Casa cafe industry · external CFC</t>
  </si>
  <si>
    <t xml:space="preserve">Casa cafe industry data — visitors fed by 9 pillars; primary revenue driver</t>
  </si>
  <si>
    <t xml:space="preserve">  Average ticket size</t>
  </si>
  <si>
    <t xml:space="preserve">  Casa F&amp;B average</t>
  </si>
  <si>
    <t xml:space="preserve">Casa F&amp;B avg ticket — 60-100 MAD typical</t>
  </si>
  <si>
    <t xml:space="preserve">  Internal catering events</t>
  </si>
  <si>
    <t xml:space="preserve">  Tied to Events Hall pillar</t>
  </si>
  <si>
    <t xml:space="preserve">Tied to Events Hall pillar — directly visible, high confidence</t>
  </si>
  <si>
    <t xml:space="preserve">  External catering bookings</t>
  </si>
  <si>
    <t xml:space="preserve">  Casa B2B catering industry</t>
  </si>
  <si>
    <t xml:space="preserve">Casa B2B catering UNVALIDATED — small revenue line (5.9% per handoff)</t>
  </si>
  <si>
    <t xml:space="preserve">  Online orders / day</t>
  </si>
  <si>
    <t xml:space="preserve">  Glovo/JumiaFood Casa benchmark</t>
  </si>
  <si>
    <t xml:space="preserve">Glovo/JumiaFood Casa benchmark; lower-margin channel</t>
  </si>
  <si>
    <t xml:space="preserve">  COGS ratio (food cost)</t>
  </si>
  <si>
    <t xml:space="preserve">  Industry standard 25-30%</t>
  </si>
  <si>
    <t xml:space="preserve">Industry standard 25-30% — well-established F&amp;B benchmark</t>
  </si>
  <si>
    <t xml:space="preserve">  Labor ratio</t>
  </si>
  <si>
    <t xml:space="preserve">  Casa F&amp;B labor as % rev</t>
  </si>
  <si>
    <t xml:space="preserve">Casa F&amp;B labor 25-35% of revenue — depends on service model (counter vs full-service)</t>
  </si>
  <si>
    <t xml:space="preserve">  Pixoul allocated rent</t>
  </si>
  <si>
    <t xml:space="preserve">Pixoul allocated rent — verify allocation key consistent across pillars</t>
  </si>
  <si>
    <t xml:space="preserve">  Revenue Build · 4 Streams</t>
  </si>
  <si>
    <t xml:space="preserve">  Cafeteria + Internal Catering + Events Catering + External · ALL F&amp;B revenue books HERE</t>
  </si>
  <si>
    <t xml:space="preserve">◆  STREAM  1  —  CAFETERIA  (daily traffic from Gaming + Esports + Academy)</t>
  </si>
  <si>
    <t xml:space="preserve">Covers/yr</t>
  </si>
  <si>
    <t xml:space="preserve">$/cover</t>
  </si>
  <si>
    <t xml:space="preserve">    Gaming F&amp;B</t>
  </si>
  <si>
    <t xml:space="preserve">Visitors × conversion × spend per visit</t>
  </si>
  <si>
    <t xml:space="preserve">    Academy F&amp;B</t>
  </si>
  <si>
    <t xml:space="preserve">Students × conv × visits/mo × spend × 12</t>
  </si>
  <si>
    <t xml:space="preserve">    Esports F&amp;B (per utilized hour)</t>
  </si>
  <si>
    <t xml:space="preserve">Utilized hours × spend per hour</t>
  </si>
  <si>
    <t xml:space="preserve">Internal (Gaming + Academy + Esports) + CFC External daily traffic (added per pivot)</t>
  </si>
  <si>
    <t xml:space="preserve">◆  STREAM  2  —  INTERNAL  CATERING  (Academy birthdays + internal events)</t>
  </si>
  <si>
    <t xml:space="preserve">Events/yr</t>
  </si>
  <si>
    <t xml:space="preserve">$/event</t>
  </si>
  <si>
    <t xml:space="preserve">    Academy birthdays</t>
  </si>
  <si>
    <t xml:space="preserve">Birthdays/mo × value × 12 months</t>
  </si>
  <si>
    <t xml:space="preserve">    Internal events (Pixoul team, partners)</t>
  </si>
  <si>
    <t xml:space="preserve">Internal events/mo × value × 12 months</t>
  </si>
  <si>
    <t xml:space="preserve">◆  STREAM  3  —  EVENTS  CATERING  (was cross-pillar from Events Hall — now booked HERE)</t>
  </si>
  <si>
    <t xml:space="preserve">    Events Hall attendees → catering</t>
  </si>
  <si>
    <t xml:space="preserve">Event attendees × conv × spend (NOT booked in Events Hall)</t>
  </si>
  <si>
    <t xml:space="preserve">  Events Catering SUBTOTAL</t>
  </si>
  <si>
    <t xml:space="preserve">Events Hall attendees + Esports tournament events (rolled in per pivot)</t>
  </si>
  <si>
    <t xml:space="preserve">◆  STREAM  4  —  EXTERNAL  CATERING  (outside corporate clients)</t>
  </si>
  <si>
    <t xml:space="preserve">    External corporate events</t>
  </si>
  <si>
    <t xml:space="preserve">External events × guests × price/head × 12</t>
  </si>
  <si>
    <t xml:space="preserve">  External Catering SUBTOTAL</t>
  </si>
  <si>
    <t xml:space="preserve">◆  TOTAL  F&amp;B  REVENUE  (Y4 mature)</t>
  </si>
  <si>
    <t xml:space="preserve">  TOTAL F&amp;B REVENUE</t>
  </si>
  <si>
    <t xml:space="preserve">  Cafeteria</t>
  </si>
  <si>
    <t xml:space="preserve">  Events Catering</t>
  </si>
  <si>
    <t xml:space="preserve">  External Catering</t>
  </si>
  <si>
    <t xml:space="preserve">  Online Orders</t>
  </si>
  <si>
    <t xml:space="preserve">◆  NO  DOUBLE  COUNT  RULE</t>
  </si>
  <si>
    <t xml:space="preserve">STRICT OPTION A: Events Hall pillar books $0 F&amp;B revenue. ALL F&amp;B revenue (including Events catering) books HERE in Pillar 07. Events Hall references the F&amp;B amount as cross-pillar info only. This eliminates double-counting in the Master investor model.</t>
  </si>
  <si>
    <t xml:space="preserve">◆  STREAM  5  —  ONLINE  ORDERS  (NEW per pivot · Glovo / Jumia / Careem delivery)</t>
  </si>
  <si>
    <t xml:space="preserve">Orders/yr</t>
  </si>
  <si>
    <t xml:space="preserve">$/order</t>
  </si>
  <si>
    <t xml:space="preserve">Orders/day × ticket × days/year (before platform commission)</t>
  </si>
  <si>
    <t xml:space="preserve">  (-) Platform commission (Glovo/Jumia)</t>
  </si>
  <si>
    <t xml:space="preserve">Active commission % from drivers (typically 25%)</t>
  </si>
  <si>
    <t xml:space="preserve">  Online Orders SUBTOTAL (NET)</t>
  </si>
  <si>
    <t xml:space="preserve">⊙  AUDIT  NOTE  —  CONSERVATIVE  EXCLUSIONS</t>
  </si>
  <si>
    <t xml:space="preserve">F&amp;B revenue does NOT include Museum cross-pillar attribution (~$73K/yr from Museum→F&amp;B visitor flow at 40% conversion × $6 spend). This is modeled in Museum · Drivers row 61 as INFORMATIONAL ONLY to avoid double-counting. If investors want total cross-pillar F&amp;B revenue, add ~$73K to current $1,515K = $1,588K F&amp;B Y4. Margin would improve from 32.9% to ~36% (additional revenue is high-margin foot traffic with low incremental cost).
⊙ NEW: Playground-driven F&amp;B uplift = $25K Y4 (7,020 Playground visits × $3.50 incremental spend) added to Cafeteria stream via F&amp;B Drivers R133. Mechanism: parents buy coffee/snack while kids play.
⊙ F&amp;B AUDIT REBUILD (v46, May 2026): Honest haircut applied vs prior v44/v45 numbers. Changes: CFC 180→120 daily customers (realistic destination-venue draw), Online 90→60 orders/day (MENA platform median for new entrant), Online commission 25%→30% (real Glovo/Jumia rates), Events Catering attribution 65%→45.5% (70% F&amp;B / 30% retained by Events Hall), Esports F&amp;B 25% conversion of utilized hours (not 100%). Cost: Head chef 30K→40K, Cleaning 7.2K→18K, removed $30K bookkeeping double-count with Master Cost C43. Net Y4 EBITDA: $381K → $179K (24.3% margin, in-line with mature F&amp;B benchmark 20-30%).</t>
  </si>
  <si>
    <t xml:space="preserve">  Direct Costs · COGS + F/V Classification</t>
  </si>
  <si>
    <t xml:space="preserve">  COGS per stream + fixed (staff, rent, depreciation) + variable (per cover)</t>
  </si>
  <si>
    <t xml:space="preserve">◆  COGS  BY  STREAM  (variable — scales with revenue)</t>
  </si>
  <si>
    <t xml:space="preserve">Per Cover</t>
  </si>
  <si>
    <t xml:space="preserve">  Cafeteria COGS</t>
  </si>
  <si>
    <t xml:space="preserve">32% of cafeteria revenue</t>
  </si>
  <si>
    <t xml:space="preserve">  Internal Catering COGS</t>
  </si>
  <si>
    <t xml:space="preserve">35% of internal catering revenue</t>
  </si>
  <si>
    <t xml:space="preserve">  Events Catering COGS</t>
  </si>
  <si>
    <t xml:space="preserve">30% of events catering revenue</t>
  </si>
  <si>
    <t xml:space="preserve">  External Catering COGS</t>
  </si>
  <si>
    <t xml:space="preserve">33% of external revenue</t>
  </si>
  <si>
    <t xml:space="preserve">  Online Orders COGS</t>
  </si>
  <si>
    <t xml:space="preserve">35% of GROSS (food cost on actual food)</t>
  </si>
  <si>
    <t xml:space="preserve">◆  FIXED  COSTS  (annual)</t>
  </si>
  <si>
    <t xml:space="preserve">  Head chef (1 FTE)</t>
  </si>
  <si>
    <t xml:space="preserve">  Sous chef (1 FTE)</t>
  </si>
  <si>
    <t xml:space="preserve">Mid-level FTE</t>
  </si>
  <si>
    <t xml:space="preserve">  Kitchen staff (4 FTE)</t>
  </si>
  <si>
    <t xml:space="preserve">Line cooks, prep, expanded for CFC/Online volume</t>
  </si>
  <si>
    <t xml:space="preserve">  Service staff (3 FTE)</t>
  </si>
  <si>
    <t xml:space="preserve">Cafeteria service for CFC lunch rush</t>
  </si>
  <si>
    <t xml:space="preserve">Kitchen + cafeteria area</t>
  </si>
  <si>
    <t xml:space="preserve">$72K equipment / 3yr</t>
  </si>
  <si>
    <t xml:space="preserve">Heavy electricity for kitchen</t>
  </si>
  <si>
    <t xml:space="preserve">  Cleaning + sanitation</t>
  </si>
  <si>
    <t xml:space="preserve">Daily service</t>
  </si>
  <si>
    <t xml:space="preserve">  Licenses + permits</t>
  </si>
  <si>
    <t xml:space="preserve">Health, food handling</t>
  </si>
  <si>
    <t xml:space="preserve">  Marketing + branding</t>
  </si>
  <si>
    <t xml:space="preserve">⚠ MOVED to Master Cost C44 (Central Marketing $300K) | (was: Pillar share)</t>
  </si>
  <si>
    <t xml:space="preserve">  Online ops + packer (1 FTE)</t>
  </si>
  <si>
    <t xml:space="preserve">Online order fulfillment + packing for Glovo/Jumia</t>
  </si>
  <si>
    <t xml:space="preserve">◆  VARIABLE  COSTS  (per cover)</t>
  </si>
  <si>
    <t xml:space="preserve">  Packaging per cover</t>
  </si>
  <si>
    <t xml:space="preserve">Per cover × annual covers</t>
  </si>
  <si>
    <t xml:space="preserve">  Payment processing (% rev)</t>
  </si>
  <si>
    <t xml:space="preserve">⚠ MOVED to Master Cost C50 ($84K centralized) | (was: % of revenue)</t>
  </si>
  <si>
    <t xml:space="preserve">  Online marketing + driver coverage</t>
  </si>
  <si>
    <t xml:space="preserve">⚠ MOVED to Master Cost C44 (Central Marketing $300K) | (was: Required for 200 daily Glovo orders + acquisition )</t>
  </si>
  <si>
    <t xml:space="preserve">  Variable supplies</t>
  </si>
  <si>
    <t xml:space="preserve">Per cover, 70% variable</t>
  </si>
  <si>
    <t xml:space="preserve">  Operational reserves + admin + maintenance</t>
  </si>
  <si>
    <t xml:space="preserve">F&amp;B mkt + ops mgr + bookkeeping/maintenance/reserves (legit at $1.5M scale)</t>
  </si>
  <si>
    <t xml:space="preserve">◆  TWO-LINE  MARGIN  REPORTING  (industry standard for F&amp;B)</t>
  </si>
  <si>
    <t xml:space="preserve">  (-) COGS only (food + ingredients)</t>
  </si>
  <si>
    <t xml:space="preserve">  F&amp;B GROSS MARGIN (food cost margin)</t>
  </si>
  <si>
    <t xml:space="preserve">Industry-standard F&amp;B 'gross margin'</t>
  </si>
  <si>
    <t xml:space="preserve">  F&amp;B Gross Margin %</t>
  </si>
  <si>
    <t xml:space="preserve">Target: 65-70% (industry benchmark)</t>
  </si>
  <si>
    <t xml:space="preserve">  Restaurant-level EBITDA</t>
  </si>
  <si>
    <t xml:space="preserve">Revenue - all direct costs (COGS + staff + fixed)</t>
  </si>
  <si>
    <t xml:space="preserve">Target: 20-30% (mature F&amp;B operation)</t>
  </si>
  <si>
    <t xml:space="preserve">  ⓘ F&amp;B uses TWO margin metrics: 'Gross Margin' = Revenue - COGS only (industry standard) · 'EBITDA Margin' = Revenue - all direct costs incl. staff and rent. Both are correct.</t>
  </si>
  <si>
    <t xml:space="preserve">◆  MEMO  —  Row 29 "Operational reserves + admin + maintenance" breakout</t>
  </si>
  <si>
    <t xml:space="preserve">⊙ The $84K bucket combines four sub-items that don't justify standalone P&amp;L lines at $603K F&amp;B revenue:</t>
  </si>
  <si>
    <t xml:space="preserve">   1. F&amp;B-specific marketing &amp; social channels                ≈ $30,000</t>
  </si>
  <si>
    <t xml:space="preserve">   2. F&amp;B operations manager (allocated, shared with main ops) ≈ $30,000</t>
  </si>
  <si>
    <t xml:space="preserve">   3. Bookkeeping + POS reconciliation + supplier admin         ≈ $12,000</t>
  </si>
  <si>
    <t xml:space="preserve">   4. Equipment maintenance + minor repairs reserve              ≈ $12,000</t>
  </si>
  <si>
    <t xml:space="preserve">   ──────────────────────────────────────────────────────────────────────</t>
  </si>
  <si>
    <t xml:space="preserve">                                                              TOTAL ~$84,000</t>
  </si>
  <si>
    <t xml:space="preserve">⊙ Why bundled: at $603K revenue, each line below $35K doesn't warrant a separate P&amp;L row.</t>
  </si>
  <si>
    <t xml:space="preserve">⊙ A reviewer can request line-item detail — it exists in the underlying Drivers (C92 + C93 + C94).</t>
  </si>
  <si>
    <t xml:space="preserve">⊙ Result: F&amp;B EBITDA $89K (14.8%) is conservative. Industry-standard F&amp;B Gross Margin (Revenue - COGS only) = $452K (75%).</t>
  </si>
  <si>
    <t xml:space="preserve">⊙ The 14.8% reflects full-cost loaded view including all operational overhead and back-office allocation.</t>
  </si>
  <si>
    <t xml:space="preserve">◆  F&amp;B  MARGIN  IMPROVEMENT  PLAN  —  Path from 14.8% to 22% EBITDA in 12 months</t>
  </si>
  <si>
    <t xml:space="preserve">Current Y4 EBITDA $89K (14.8% margin) reflects honest full-cost loading. Industry standard is 20-30%. This is the operational path to 22% by end of Y2.</t>
  </si>
  <si>
    <t xml:space="preserve">⊙ OWNERSHIP: F&amp;B Director (hire planned pre-opening). Monthly KPI dashboard tracking COGS %, online order share, staff productivity ratio, mix shift % — reported to CEO + investor every 30 days through Y2.</t>
  </si>
  <si>
    <t xml:space="preserve">LEVER 1 — COGS reduction: 32% → 28% over 12 months</t>
  </si>
  <si>
    <t xml:space="preserve">Month</t>
  </si>
  <si>
    <t xml:space="preserve">Action</t>
  </si>
  <si>
    <t xml:space="preserve">EBITDA Impact ($)</t>
  </si>
  <si>
    <t xml:space="preserve">KPI Tracking</t>
  </si>
  <si>
    <t xml:space="preserve">Mo 1-3</t>
  </si>
  <si>
    <t xml:space="preserve">Supplier consolidation: 3 vendors → 1 primary + 1 backup. Volume discount target 4pp.</t>
  </si>
  <si>
    <t xml:space="preserve">TBD F&amp;B Director</t>
  </si>
  <si>
    <t xml:space="preserve">Monthly review</t>
  </si>
  <si>
    <t xml:space="preserve">Mo 4-6</t>
  </si>
  <si>
    <t xml:space="preserve">Menu engineering: remove bottom 15% revenue items (low margin), promote high-margin</t>
  </si>
  <si>
    <t xml:space="preserve">Mo 7-9</t>
  </si>
  <si>
    <t xml:space="preserve">Bulk staple sourcing (rice, oil, flour) via 6mo contracts at fixed prices</t>
  </si>
  <si>
    <t xml:space="preserve">Mo 10-12</t>
  </si>
  <si>
    <t xml:space="preserve">In-house pastry/bakery production (vs buying finished): saves 12% on baked goods</t>
  </si>
  <si>
    <t xml:space="preserve">  Lever 1 subtotal</t>
  </si>
  <si>
    <t xml:space="preserve">LEVER 2 — Online order channel growth (40% of revenue → 30% of margin lift)</t>
  </si>
  <si>
    <t xml:space="preserve">Glovo + Jumia + Careem multi-platform listing. Photography + menu optimization</t>
  </si>
  <si>
    <t xml:space="preserve">WhatsApp Business direct orders (bypass platform 25% commission for repeat customers)</t>
  </si>
  <si>
    <t xml:space="preserve">Corporate catering monthly contracts (3-5 anchors at $2-4K/mo) — high-margin, low marketing cost</t>
  </si>
  <si>
    <t xml:space="preserve">Subscription model for daily lunch boxes (Pixoul Academy parents + Esports members)</t>
  </si>
  <si>
    <t xml:space="preserve">  Lever 2 subtotal</t>
  </si>
  <si>
    <t xml:space="preserve">LEVER 3 — Staff productivity (kitchen ratio + cross-training)</t>
  </si>
  <si>
    <t xml:space="preserve">Mo 1-6</t>
  </si>
  <si>
    <t xml:space="preserve">Reduce service staff 3 → 2 FTE during launch ramp; backfill via Academy student PT roles</t>
  </si>
  <si>
    <t xml:space="preserve">Mo 7-12</t>
  </si>
  <si>
    <t xml:space="preserve">Cross-train kitchen staff for prep AND service during off-peak (saves 0.5 FTE annualized)</t>
  </si>
  <si>
    <t xml:space="preserve">  Lever 3 subtotal</t>
  </si>
  <si>
    <t xml:space="preserve">LEVER 4 — Revenue mix shift to internal catering + external corporate (higher unit margin)</t>
  </si>
  <si>
    <t xml:space="preserve">  Mo 6-12: Increase internal events/catering 1/mo → 3/mo via Pixoul UAE referral pipeline</t>
  </si>
  <si>
    <t xml:space="preserve">  Mo 9-12: External corporate events 1/mo → 3/mo (Casa Finance City offices as primary target)</t>
  </si>
  <si>
    <t xml:space="preserve">  Lever 4 subtotal</t>
  </si>
  <si>
    <t xml:space="preserve">◆  TOTAL  EBITDA  UPLIFT  (cumulative by end of Mo 12)</t>
  </si>
  <si>
    <t xml:space="preserve">Current F&amp;B EBITDA (Y4)</t>
  </si>
  <si>
    <t xml:space="preserve">Target F&amp;B EBITDA (after 12-mo plan)</t>
  </si>
  <si>
    <t xml:space="preserve">Target F&amp;B Margin</t>
  </si>
  <si>
    <t xml:space="preserve">Industry standard range</t>
  </si>
  <si>
    <t xml:space="preserve">20% - 30%</t>
  </si>
  <si>
    <t xml:space="preserve">◆ EXECUTION  NOTES</t>
  </si>
  <si>
    <t xml:space="preserve">⊙ Plan assumes Y2 of operations (not Y1 ramp — too aggressive during launch).</t>
  </si>
  <si>
    <t xml:space="preserve">⊙ Lever 2 (online orders) is highest-impact. Glovo/Jumia partnership terms should be negotiated pre-launch.</t>
  </si>
  <si>
    <t xml:space="preserve">⊙ Lever 4 (mix shift) depends on Pixoul UAE referral pipeline — confirm available before counting in plan.</t>
  </si>
  <si>
    <t xml:space="preserve">⊙ NOT included (out of scope): venue rent renegotiation, equipment refinancing — these are CapEx structure changes.</t>
  </si>
  <si>
    <t xml:space="preserve">⊙ Reviewer challenge prep: each lever has named owners + monthly tracking via KPI dashboard (NOT in this model — separate ops doc).</t>
  </si>
  <si>
    <t xml:space="preserve">  8-Year Projection · F&amp;B</t>
  </si>
  <si>
    <t xml:space="preserve">  P&amp;L · F&amp;B</t>
  </si>
  <si>
    <t xml:space="preserve">  Cash Flow · F&amp;B</t>
  </si>
  <si>
    <t xml:space="preserve">  Food + supplies inventory</t>
  </si>
  <si>
    <t xml:space="preserve">  Mostly cash + cards same-day</t>
  </si>
  <si>
    <t xml:space="preserve">  Food vendors net-30</t>
  </si>
  <si>
    <t xml:space="preserve">  F&amp;B is pay-on-spot</t>
  </si>
  <si>
    <t xml:space="preserve">  Unit Economics · Per Cover · Per Stream</t>
  </si>
  <si>
    <t xml:space="preserve">  Blended margin · Per-cover economics · Cross-pillar yield</t>
  </si>
  <si>
    <t xml:space="preserve">◆  PER-COVER  ECONOMICS</t>
  </si>
  <si>
    <t xml:space="preserve">  Total covers/year</t>
  </si>
  <si>
    <t xml:space="preserve">All streams (excl Esports hours)</t>
  </si>
  <si>
    <t xml:space="preserve">  Avg revenue per cover (BLENDED — see split below)</t>
  </si>
  <si>
    <t xml:space="preserve">Blended figure includes online — see split for true in-store vs online</t>
  </si>
  <si>
    <t xml:space="preserve">  Avg cost per cover (blended)</t>
  </si>
  <si>
    <t xml:space="preserve">Total costs ÷ covers</t>
  </si>
  <si>
    <t xml:space="preserve">  Contribution per cover</t>
  </si>
  <si>
    <t xml:space="preserve">Revenue/cover - Cost/cover</t>
  </si>
  <si>
    <t xml:space="preserve">  ↳ In-store avg ticket</t>
  </si>
  <si>
    <t xml:space="preserve">In-store revenue ÷ in-store covers (Cafeteria + Catering)</t>
  </si>
  <si>
    <t xml:space="preserve">  Cafeteria margin</t>
  </si>
  <si>
    <t xml:space="preserve">Pre-fixed-cost margin (revenue - COGS)</t>
  </si>
  <si>
    <t xml:space="preserve">  Internal Catering margin</t>
  </si>
  <si>
    <t xml:space="preserve">  Events Catering margin</t>
  </si>
  <si>
    <t xml:space="preserve">  External Catering margin</t>
  </si>
  <si>
    <t xml:space="preserve">  ↳ Online avg ticket (from drivers)</t>
  </si>
  <si>
    <t xml:space="preserve">Online avg ticket per order (delivery)</t>
  </si>
  <si>
    <t xml:space="preserve">◆  CROSS-PILLAR  YIELD  (revenue per ecosystem unit)</t>
  </si>
  <si>
    <t xml:space="preserve">  Revenue per Gaming visitor</t>
  </si>
  <si>
    <t xml:space="preserve">Cafeteria Gaming revenue ÷ total Gaming visitors</t>
  </si>
  <si>
    <t xml:space="preserve">  Revenue per Esports utilized hour</t>
  </si>
  <si>
    <t xml:space="preserve">Esports F&amp;B revenue ÷ total utilized hours</t>
  </si>
  <si>
    <t xml:space="preserve">  Revenue per Academy student/year</t>
  </si>
  <si>
    <t xml:space="preserve">Academy F&amp;B revenue ÷ active students</t>
  </si>
  <si>
    <t xml:space="preserve">  Revenue per Event attendee</t>
  </si>
  <si>
    <t xml:space="preserve">Events catering revenue ÷ total attendees</t>
  </si>
  <si>
    <t xml:space="preserve">All 4 streams</t>
  </si>
  <si>
    <t xml:space="preserve">COGS + fixed + variable</t>
  </si>
  <si>
    <t xml:space="preserve">F&amp;B target: 65-70%</t>
  </si>
  <si>
    <t xml:space="preserve">  Required volume to cover fixed costs · Margin of safety</t>
  </si>
  <si>
    <t xml:space="preserve">◆  BREAKEVEN  IN  COVERS</t>
  </si>
  <si>
    <t xml:space="preserve">  Avg revenue per cover</t>
  </si>
  <si>
    <t xml:space="preserve">  Required covers/year</t>
  </si>
  <si>
    <t xml:space="preserve">Covers needed to breakeven</t>
  </si>
  <si>
    <t xml:space="preserve">  Current covers/year</t>
  </si>
  <si>
    <t xml:space="preserve">  Buffer (covers above breakeven)</t>
  </si>
  <si>
    <t xml:space="preserve">  Capacity Ceiling · F&amp;B</t>
  </si>
  <si>
    <t xml:space="preserve">  Daily covers</t>
  </si>
  <si>
    <t xml:space="preserve">  Cafe seat × turnover</t>
  </si>
  <si>
    <t xml:space="preserve">  Near 24/7 ops</t>
  </si>
  <si>
    <t xml:space="preserve">  Could extend to night</t>
  </si>
  <si>
    <t xml:space="preserve">  Could push premium F&amp;B</t>
  </si>
  <si>
    <t xml:space="preserve">  KPI Dashboard · F&amp;B</t>
  </si>
  <si>
    <t xml:space="preserve">  Operating KPIs · Tracking metrics · Alert thresholds</t>
  </si>
  <si>
    <t xml:space="preserve">◆  OPERATING  KPIs</t>
  </si>
  <si>
    <t xml:space="preserve">  Average $/cover</t>
  </si>
  <si>
    <t xml:space="preserve">  Daily covers (avg)</t>
  </si>
  <si>
    <t xml:space="preserve">  Food cost % of revenue</t>
  </si>
  <si>
    <t xml:space="preserve">  Restaurant EBITDA margin</t>
  </si>
  <si>
    <t xml:space="preserve">  Online order share %</t>
  </si>
  <si>
    <t xml:space="preserve">◆  QUALITY  METRICS</t>
  </si>
  <si>
    <t xml:space="preserve">  Repeat customer rate</t>
  </si>
  <si>
    <t xml:space="preserve">&lt;25%</t>
  </si>
  <si>
    <t xml:space="preserve">&lt;4.0</t>
  </si>
  <si>
    <t xml:space="preserve">  Complaint rate</t>
  </si>
  <si>
    <t xml:space="preserve">&gt;5%</t>
  </si>
  <si>
    <t xml:space="preserve">  Staff turnover annualized</t>
  </si>
  <si>
    <t xml:space="preserve">&gt;30%</t>
  </si>
  <si>
    <t xml:space="preserve">  Cafeteria revenue</t>
  </si>
  <si>
    <t xml:space="preserve">  Internal Catering revenue</t>
  </si>
  <si>
    <t xml:space="preserve">  + Online Orders (NEW)</t>
  </si>
  <si>
    <t xml:space="preserve">  Gaming conversion %</t>
  </si>
  <si>
    <t xml:space="preserve">  Gaming spend per visit</t>
  </si>
  <si>
    <t xml:space="preserve">  Academy conversion %</t>
  </si>
  <si>
    <t xml:space="preserve">  Events conversion %</t>
  </si>
  <si>
    <t xml:space="preserve">  Events spend per attendee</t>
  </si>
  <si>
    <t xml:space="preserve">  External catering events</t>
  </si>
  <si>
    <t xml:space="preserve">  CFC daily customers (NEW)</t>
  </si>
  <si>
    <t xml:space="preserve">  Online orders/day (NEW)</t>
  </si>
  <si>
    <t xml:space="preserve">Each cell uses the ACTUAL revenue formula (4 streams: Cafeteria + Internal Catering + Events Catering + External) with ONE driver shifted ±10%/±20%, others held at Base.
FOR FULL SCENARIO RECALC: Set master toggle (0·SUMMARY!H7) to BEAR/BULL and read 2·Revenue!E29.</t>
  </si>
  <si>
    <t xml:space="preserve">  Industry Benchmarks · F&amp;B</t>
  </si>
  <si>
    <t xml:space="preserve">  Casablanca · GCC · Global comparables</t>
  </si>
  <si>
    <t xml:space="preserve">Casa Industry</t>
  </si>
  <si>
    <t xml:space="preserve">GCC Avg</t>
  </si>
  <si>
    <t xml:space="preserve">200-400</t>
  </si>
  <si>
    <t xml:space="preserve">500-1,200</t>
  </si>
  <si>
    <t xml:space="preserve">  Casa F&amp;B has lower density</t>
  </si>
  <si>
    <t xml:space="preserve">$18-35</t>
  </si>
  <si>
    <t xml:space="preserve">  GCC 2-3x Casa F&amp;B pricing</t>
  </si>
  <si>
    <t xml:space="preserve">  Food cost %</t>
  </si>
  <si>
    <t xml:space="preserve">28-32%</t>
  </si>
  <si>
    <t xml:space="preserve">25-30%</t>
  </si>
  <si>
    <t xml:space="preserve">  Casa slightly higher food cost</t>
  </si>
  <si>
    <t xml:space="preserve">  Labor cost %</t>
  </si>
  <si>
    <t xml:space="preserve">28-35%</t>
  </si>
  <si>
    <t xml:space="preserve">22-28%</t>
  </si>
  <si>
    <t xml:space="preserve">  Casa labor higher % despite lower wages</t>
  </si>
  <si>
    <t xml:space="preserve">  Restaurant EBITDA %</t>
  </si>
  <si>
    <t xml:space="preserve">12-22%</t>
  </si>
  <si>
    <t xml:space="preserve">20-30%</t>
  </si>
  <si>
    <t xml:space="preserve">  GCC operating leverage</t>
  </si>
  <si>
    <t xml:space="preserve">  Online order share</t>
  </si>
  <si>
    <t xml:space="preserve">30-45%</t>
  </si>
  <si>
    <t xml:space="preserve">  Casa delivery growing fast</t>
  </si>
  <si>
    <t xml:space="preserve">  Catering share</t>
  </si>
  <si>
    <t xml:space="preserve">20-35%</t>
  </si>
  <si>
    <t xml:space="preserve">  Pixoul advantage from event tie-in</t>
  </si>
  <si>
    <t xml:space="preserve">ℹ  BENCHMARK  SOURCES</t>
  </si>
  <si>
    <t xml:space="preserve">  •  Casa industry data: Pixoul UAE comparable + CCG Casa market reports + local operator interviews.
  •  GCC averages: Dubai/Abu Dhabi/Riyadh F&amp;B + entertainment industry benchmarks 2024-2025.
  •  Variance commentary: Where Pixoul differs, it's by design (premium positioning, multi-pillar synergies).
  •  Update cadence: refresh annually with new industry data; current dataset April 2026.</t>
  </si>
  <si>
    <t xml:space="preserve">  Master Integration · F&amp;B</t>
  </si>
  <si>
    <t xml:space="preserve">  '2·Master Revenue'!C13</t>
  </si>
  <si>
    <t xml:space="preserve">  '07_F_14_Scenarios'!C11</t>
  </si>
  <si>
    <t xml:space="preserve">  '2·Master Revenue'!D13</t>
  </si>
  <si>
    <t xml:space="preserve">  '07_F_14_Scenarios'!D11</t>
  </si>
  <si>
    <t xml:space="preserve">  '2·Master Revenue'!E13</t>
  </si>
  <si>
    <t xml:space="preserve">  '07_F_14_Scenarios'!E11</t>
  </si>
  <si>
    <t xml:space="preserve">  '3·Master Cost'!C13</t>
  </si>
  <si>
    <t xml:space="preserve">  ='2·Master Revenue'!D13*$D13</t>
  </si>
  <si>
    <t xml:space="preserve">  '3·Master Cost'!I13</t>
  </si>
  <si>
    <t xml:space="preserve">  ='2·Master Revenue'!H13-'3·Master Cost'!H13</t>
  </si>
  <si>
    <t xml:space="preserve">  F&amp;B → CROSS-PILLAR FLOWS:
  •  F&amp;B receives traffic: Gaming (~$117K), Esports (~$117K), Museum (~$85K), Events ($180K), Academy (~$60K).
  •  Total cross-pillar contribution: ~$560K of F&amp;B's $1.515M Base.
  •  Independent F&amp;B: ~$955K (External CFC + Online).
  CRITICAL: All cross-pillar contributions BOOKED here at F&amp;B (this pillar).</t>
  </si>
  <si>
    <t xml:space="preserve">  Sponsorships · SUMMARY Dashboard</t>
  </si>
  <si>
    <t xml:space="preserve">  Title Sponsor (1 deal)</t>
  </si>
  <si>
    <t xml:space="preserve">  Zone Sponsors (3 zones)</t>
  </si>
  <si>
    <t xml:space="preserve">  Event Sponsors (5/yr)</t>
  </si>
  <si>
    <t xml:space="preserve">  Activations + Naming Rights</t>
  </si>
  <si>
    <t xml:space="preserve">Sponsorships % of Total</t>
  </si>
  <si>
    <t xml:space="preserve">Pure-margin layer: brand IP monetization via title + zone + event sponsors + naming rights. ⚠ Title sponsor binary risk — diversified across 4 streams to mitigate.</t>
  </si>
  <si>
    <t xml:space="preserve">  Drivers · 4 Sponsorship Streams · BD Pipeline</t>
  </si>
  <si>
    <t xml:space="preserve">  Title + 3 Zones + 5 Events + Activations · Probability-weighted pipeline</t>
  </si>
  <si>
    <t xml:space="preserve">  Title Sponsor — # deals</t>
  </si>
  <si>
    <t xml:space="preserve">1 title sponsor at Base (e.g., OCP, Inwi, Renault)</t>
  </si>
  <si>
    <t xml:space="preserve">  Title Sponsor — annual fee ($)</t>
  </si>
  <si>
    <t xml:space="preserve">Casa Tier-1 sponsorship rate</t>
  </si>
  <si>
    <t xml:space="preserve">  Title Sponsor — close probability %</t>
  </si>
  <si>
    <t xml:space="preserve">Tightened v53: 50% → 30%. Pre-launch close prob more conservative for unopened venue</t>
  </si>
  <si>
    <t xml:space="preserve">  Zone Sponsors — # deals</t>
  </si>
  <si>
    <t xml:space="preserve">Origins / Present / Future zones</t>
  </si>
  <si>
    <t xml:space="preserve">  Zone Sponsor — avg fee ($)</t>
  </si>
  <si>
    <t xml:space="preserve">Per zone naming + presence rights</t>
  </si>
  <si>
    <t xml:space="preserve">  Zone Sponsors — close probability %</t>
  </si>
  <si>
    <t xml:space="preserve">Pipeline confidence</t>
  </si>
  <si>
    <t xml:space="preserve">  Event Sponsors — # deals/yr</t>
  </si>
  <si>
    <t xml:space="preserve">Per major event (esports tournaments, exhibitions)</t>
  </si>
  <si>
    <t xml:space="preserve">  Event Sponsor — avg fee ($)</t>
  </si>
  <si>
    <t xml:space="preserve">Per event, varies by scale</t>
  </si>
  <si>
    <t xml:space="preserve">  Event Sponsors — close probability %</t>
  </si>
  <si>
    <t xml:space="preserve">Higher conv rate (smaller deals)</t>
  </si>
  <si>
    <t xml:space="preserve">  Activations — # deals/yr</t>
  </si>
  <si>
    <t xml:space="preserve">Brand activations, pop-ups, branded experiences</t>
  </si>
  <si>
    <t xml:space="preserve">  Activations — avg fee ($)</t>
  </si>
  <si>
    <t xml:space="preserve">Per activation, short-term</t>
  </si>
  <si>
    <t xml:space="preserve">  Activations — close probability %</t>
  </si>
  <si>
    <t xml:space="preserve">Highest conv (smallest deals)</t>
  </si>
  <si>
    <t xml:space="preserve">  Naming Rights — # spaces</t>
  </si>
  <si>
    <t xml:space="preserve">Esports Lounge, Academy, F&amp;B, etc.</t>
  </si>
  <si>
    <t xml:space="preserve">  Naming Rights — annual fee ($)</t>
  </si>
  <si>
    <t xml:space="preserve">Per space, multi-year typical</t>
  </si>
  <si>
    <t xml:space="preserve">  Naming Rights — close probability %</t>
  </si>
  <si>
    <t xml:space="preserve">Harder to close (longer commitment)</t>
  </si>
  <si>
    <t xml:space="preserve">  Active Title # deals</t>
  </si>
  <si>
    <t xml:space="preserve">→ Title</t>
  </si>
  <si>
    <t xml:space="preserve">  Active Title fee</t>
  </si>
  <si>
    <t xml:space="preserve">  Active Title close prob</t>
  </si>
  <si>
    <t xml:space="preserve">  Active Zone # deals</t>
  </si>
  <si>
    <t xml:space="preserve">→ Zones</t>
  </si>
  <si>
    <t xml:space="preserve">  Active Zone avg fee</t>
  </si>
  <si>
    <t xml:space="preserve">  Active Zone close prob</t>
  </si>
  <si>
    <t xml:space="preserve">  Active Event # deals</t>
  </si>
  <si>
    <t xml:space="preserve">→ Events</t>
  </si>
  <si>
    <t xml:space="preserve">  Active Event avg fee</t>
  </si>
  <si>
    <t xml:space="preserve">  Active Event close prob</t>
  </si>
  <si>
    <t xml:space="preserve">  Active Activations # deals</t>
  </si>
  <si>
    <t xml:space="preserve">→ Activations</t>
  </si>
  <si>
    <t xml:space="preserve">  Active Activations avg fee</t>
  </si>
  <si>
    <t xml:space="preserve">  Active Activations close prob</t>
  </si>
  <si>
    <t xml:space="preserve">  Active Naming # spaces</t>
  </si>
  <si>
    <t xml:space="preserve">→ Activations bucket</t>
  </si>
  <si>
    <t xml:space="preserve">  Active Naming avg fee</t>
  </si>
  <si>
    <t xml:space="preserve">  Active Naming close prob</t>
  </si>
  <si>
    <t xml:space="preserve">◆  STREAM  REVENUE  COMPONENTS  (probability-weighted)</t>
  </si>
  <si>
    <t xml:space="preserve">  Title Sponsor revenue</t>
  </si>
  <si>
    <t xml:space="preserve">Deals × fee × close prob</t>
  </si>
  <si>
    <t xml:space="preserve">  Zone Sponsors revenue</t>
  </si>
  <si>
    <t xml:space="preserve">Deals × avg fee × close prob</t>
  </si>
  <si>
    <t xml:space="preserve">  Event Sponsors revenue</t>
  </si>
  <si>
    <t xml:space="preserve">  Activations revenue</t>
  </si>
  <si>
    <t xml:space="preserve">Brand activations × avg fee × close prob</t>
  </si>
  <si>
    <t xml:space="preserve">  Naming Rights revenue</t>
  </si>
  <si>
    <t xml:space="preserve">Spaces × annual fee × close prob</t>
  </si>
  <si>
    <t xml:space="preserve">  Activations &amp; Naming TOTAL</t>
  </si>
  <si>
    <t xml:space="preserve">Stream 4 combined</t>
  </si>
  <si>
    <t xml:space="preserve">◆  COST  DRIVERS  (light · BD effort + activation execution)</t>
  </si>
  <si>
    <t xml:space="preserve">    BD/sponsorship sales lead (1 FTE)</t>
  </si>
  <si>
    <t xml:space="preserve">Senior BD person — Casa rate</t>
  </si>
  <si>
    <t xml:space="preserve">    Sales support / coordination (0.5 FTE)</t>
  </si>
  <si>
    <t xml:space="preserve">Half-time admin support</t>
  </si>
  <si>
    <t xml:space="preserve">    Pitch decks + sales materials</t>
  </si>
  <si>
    <t xml:space="preserve">Branded sponsorship pitch materials</t>
  </si>
  <si>
    <t xml:space="preserve">    Legal + contracts (annual)</t>
  </si>
  <si>
    <t xml:space="preserve">Sponsorship agreements, IP</t>
  </si>
  <si>
    <t xml:space="preserve">    Client services / account mgmt (0.5 FTE)</t>
  </si>
  <si>
    <t xml:space="preserve">Senior client mgr 0.5 FTE — sponsor delivery/reporting</t>
  </si>
  <si>
    <t xml:space="preserve">  VARIABLE costs (% of revenue)</t>
  </si>
  <si>
    <t xml:space="preserve">    Activation execution % of revenue</t>
  </si>
  <si>
    <t xml:space="preserve">Branded signage, fulfillment, reporting</t>
  </si>
  <si>
    <t xml:space="preserve">    Sales commission % of revenue</t>
  </si>
  <si>
    <t xml:space="preserve">BD bonus on closed deals</t>
  </si>
  <si>
    <t xml:space="preserve">    Marketing &amp; sponsor entertainment %</t>
  </si>
  <si>
    <t xml:space="preserve">Sponsor relationship management</t>
  </si>
  <si>
    <t xml:space="preserve">    Sponsor hosting &amp; entertainment (annual)</t>
  </si>
  <si>
    <t xml:space="preserve">Hosting, gifting, dinners with major sponsors (light)</t>
  </si>
  <si>
    <t xml:space="preserve">◆  TITLE  SPONSOR  BINARY  RISK  STRESS  TEST</t>
  </si>
  <si>
    <t xml:space="preserve">Title Sponsor</t>
  </si>
  <si>
    <t xml:space="preserve">Other Streams</t>
  </si>
  <si>
    <t xml:space="preserve">Total Rev</t>
  </si>
  <si>
    <t xml:space="preserve">  CURRENT BASE (title sponsor secured)</t>
  </si>
  <si>
    <t xml:space="preserve">  ⚠ Title sponsor delayed Y1 (signs Y2)</t>
  </si>
  <si>
    <t xml:space="preserve">🛑 BINARY HIT</t>
  </si>
  <si>
    <t xml:space="preserve">  ⚠ Title sponsor LOST permanently</t>
  </si>
  <si>
    <t xml:space="preserve">  Bull: 2 title sponsors</t>
  </si>
  <si>
    <t xml:space="preserve">✓ upside</t>
  </si>
  <si>
    <t xml:space="preserve">Title sponsor binary risk: $120,000 of revenue (~28% of pillar) depends on a single deal. Mitigations: (1) Diversification — Zone Sponsors $112.5K + Event Sponsors $80K + Activations/Naming Rights $120K together = $312.5K (72% of pillar) without title sponsor. (2) Pre-launch identification of 2-3 prospective title sponsors in parallel. (3) Worst case (title sponsor lost): drops Sponsorships pillar EBITDA by ~$120,000, Platform EBITDA from $3.39M → $3.27M (margin 47.7% → 46.6%) — still healthy.</t>
  </si>
  <si>
    <t xml:space="preserve">    Assumption Register · Sponsorships</t>
  </si>
  <si>
    <t xml:space="preserve">Title sponsor price</t>
  </si>
  <si>
    <t xml:space="preserve">Casa B2B sponsor mkt</t>
  </si>
  <si>
    <t xml:space="preserve">⚠ Title sponsor is BINARY RISK — assumes premium brand lands $X/yr; if no, Bear case only</t>
  </si>
  <si>
    <t xml:space="preserve">Title sponsor count</t>
  </si>
  <si>
    <t xml:space="preserve">Single title strategy</t>
  </si>
  <si>
    <t xml:space="preserve">⚠ Title count = 1 in Base — single point of failure; consider rebalancing to multiple smaller sponsors</t>
  </si>
  <si>
    <t xml:space="preserve">Zone sponsor price</t>
  </si>
  <si>
    <t xml:space="preserve">Zone sponsor (Gaming Hall, Esports zone) — viable Casa B2B demand</t>
  </si>
  <si>
    <t xml:space="preserve">Zone sponsor count</t>
  </si>
  <si>
    <t xml:space="preserve">Gaming/Esports/Museum</t>
  </si>
  <si>
    <t xml:space="preserve">Zone count — multiple zones reduce concentration risk</t>
  </si>
  <si>
    <t xml:space="preserve">Event sponsor price</t>
  </si>
  <si>
    <t xml:space="preserve">Per-event basis</t>
  </si>
  <si>
    <t xml:space="preserve">Event sponsor price — viable per-event sponsorship</t>
  </si>
  <si>
    <t xml:space="preserve">Event sponsors/year</t>
  </si>
  <si>
    <t xml:space="preserve">Calendar-driven</t>
  </si>
  <si>
    <t xml:space="preserve">Event sponsors/yr depends on Events Hall calendar</t>
  </si>
  <si>
    <t xml:space="preserve">Activation price</t>
  </si>
  <si>
    <t xml:space="preserve">Custom activations</t>
  </si>
  <si>
    <t xml:space="preserve">Activation price — branded experiences within venue</t>
  </si>
  <si>
    <t xml:space="preserve">Activations/year</t>
  </si>
  <si>
    <t xml:space="preserve">BD pipeline</t>
  </si>
  <si>
    <t xml:space="preserve">Activations/yr — UNVALIDATED demand</t>
  </si>
  <si>
    <t xml:space="preserve">BD Lead salary</t>
  </si>
  <si>
    <t xml:space="preserve">BD Lead salary — Casa senior FTE rate verifiable</t>
  </si>
  <si>
    <t xml:space="preserve">Activation production %</t>
  </si>
  <si>
    <t xml:space="preserve">Activation production % — proven discipline, ~25-30% norm</t>
  </si>
  <si>
    <t xml:space="preserve">No inventory — services-only revenue</t>
  </si>
  <si>
    <t xml:space="preserve">B2B billing</t>
  </si>
  <si>
    <t xml:space="preserve">Sponsor net-30 to net-90 typical — affects WC</t>
  </si>
  <si>
    <t xml:space="preserve">Negligible</t>
  </si>
  <si>
    <t xml:space="preserve">No physical asset — minimal capex</t>
  </si>
  <si>
    <t xml:space="preserve">  Title + Zone Sponsors + Event Sponsors + Activations/Naming Rights</t>
  </si>
  <si>
    <t xml:space="preserve">◆  STREAM  1  —  TITLE  SPONSOR  (1 deal · highest-tier presence)</t>
  </si>
  <si>
    <t xml:space="preserve">$/deal</t>
  </si>
  <si>
    <t xml:space="preserve">  Title Sponsor (probability-weighted)</t>
  </si>
  <si>
    <t xml:space="preserve">Deals × close prob × fee</t>
  </si>
  <si>
    <t xml:space="preserve">  Title Sponsor SUBTOTAL</t>
  </si>
  <si>
    <t xml:space="preserve">◆  STREAM  2  —  ZONE  SPONSORS  (3 zones · Origins / Present / Future)</t>
  </si>
  <si>
    <t xml:space="preserve">  Zone Sponsors (probability-weighted)</t>
  </si>
  <si>
    <t xml:space="preserve">Deals × close prob × avg fee</t>
  </si>
  <si>
    <t xml:space="preserve">  Zone Sponsors SUBTOTAL</t>
  </si>
  <si>
    <t xml:space="preserve">◆  STREAM  3  —  EVENT  SPONSORS  (5 events/yr · per-event sponsorship)</t>
  </si>
  <si>
    <t xml:space="preserve">  Event Sponsors (probability-weighted)</t>
  </si>
  <si>
    <t xml:space="preserve">Events/yr × close prob × avg fee</t>
  </si>
  <si>
    <t xml:space="preserve">  Event Sponsors SUBTOTAL</t>
  </si>
  <si>
    <t xml:space="preserve">◆  STREAM  4  —  ACTIVATIONS  +  NAMING  RIGHTS</t>
  </si>
  <si>
    <t xml:space="preserve">  Brand activations (pop-ups, branded experiences)</t>
  </si>
  <si>
    <t xml:space="preserve">Activations × close prob × avg fee</t>
  </si>
  <si>
    <t xml:space="preserve">  Naming Rights (Esports/Academy/F&amp;B spaces)</t>
  </si>
  <si>
    <t xml:space="preserve">Spaces × close prob × annual fee</t>
  </si>
  <si>
    <t xml:space="preserve">  Activations &amp; Naming SUBTOTAL</t>
  </si>
  <si>
    <t xml:space="preserve">◆  TOTAL  SPONSORSHIP  REVENUE  (Y4 mature)</t>
  </si>
  <si>
    <t xml:space="preserve">  Title Sponsor</t>
  </si>
  <si>
    <t xml:space="preserve">  Zone Sponsors (3)</t>
  </si>
  <si>
    <t xml:space="preserve">  Event Sponsors (5)</t>
  </si>
  <si>
    <t xml:space="preserve">  Direct Costs · Light (BD + activation execution)</t>
  </si>
  <si>
    <t xml:space="preserve">  BD lead + admin + activation execution (variable) + commission</t>
  </si>
  <si>
    <t xml:space="preserve">$/Deal</t>
  </si>
  <si>
    <t xml:space="preserve">  BD/sponsorship sales lead (1 FTE)</t>
  </si>
  <si>
    <t xml:space="preserve">Senior BD</t>
  </si>
  <si>
    <t xml:space="preserve">  Sales support / coordination (0.5 FTE)</t>
  </si>
  <si>
    <t xml:space="preserve">Half-time admin</t>
  </si>
  <si>
    <t xml:space="preserve">  Pitch decks + sales materials</t>
  </si>
  <si>
    <t xml:space="preserve">Branded materials</t>
  </si>
  <si>
    <t xml:space="preserve">  Legal + contracts</t>
  </si>
  <si>
    <t xml:space="preserve">Sponsorship agreements</t>
  </si>
  <si>
    <t xml:space="preserve">  Client services / account mgmt (0.5 FTE)</t>
  </si>
  <si>
    <t xml:space="preserve">Senior client mgr — sponsor delivery + reporting</t>
  </si>
  <si>
    <t xml:space="preserve">  Activation execution</t>
  </si>
  <si>
    <t xml:space="preserve">5% of revenue — branded fulfillment</t>
  </si>
  <si>
    <t xml:space="preserve">  Sales commission</t>
  </si>
  <si>
    <t xml:space="preserve">3% on closed deals</t>
  </si>
  <si>
    <t xml:space="preserve">  Sponsor hosting &amp; entertainment</t>
  </si>
  <si>
    <t xml:space="preserve">Hosting/gifting/dinners with major sponsors</t>
  </si>
  <si>
    <t xml:space="preserve">◆  EBITDA  (pure-margin upside · target 80-90%)</t>
  </si>
  <si>
    <t xml:space="preserve">Target: 80-90% (pure-margin upside)</t>
  </si>
  <si>
    <t xml:space="preserve">    Eight-Year Projection · Sponsorships</t>
  </si>
  <si>
    <t xml:space="preserve">    Profit &amp; Loss · Sponsorships</t>
  </si>
  <si>
    <t xml:space="preserve">    Cash Flow Forecast · Sponsorships</t>
  </si>
  <si>
    <t xml:space="preserve">  Unit Economics · Per Sponsor · Per Deal</t>
  </si>
  <si>
    <t xml:space="preserve">  Yield analysis · Stream contribution · BD efficiency</t>
  </si>
  <si>
    <t xml:space="preserve">◆  PER-DEAL  ECONOMICS</t>
  </si>
  <si>
    <t xml:space="preserve">  Total active deals (all streams)</t>
  </si>
  <si>
    <t xml:space="preserve">Title + 3 zones + 5 events + activations + naming</t>
  </si>
  <si>
    <t xml:space="preserve">  Avg revenue per deal (blended)</t>
  </si>
  <si>
    <t xml:space="preserve">Blended yield per signed deal</t>
  </si>
  <si>
    <t xml:space="preserve">  Cost per deal (blended)</t>
  </si>
  <si>
    <t xml:space="preserve">Blended cost per signed deal</t>
  </si>
  <si>
    <t xml:space="preserve">  Margin per deal</t>
  </si>
  <si>
    <t xml:space="preserve">EBITDA contribution per deal</t>
  </si>
  <si>
    <t xml:space="preserve">  Title yield (per deal)</t>
  </si>
  <si>
    <t xml:space="preserve">Probability-weighted</t>
  </si>
  <si>
    <t xml:space="preserve">  Zone yield (per deal)</t>
  </si>
  <si>
    <t xml:space="preserve">  Event yield (per deal)</t>
  </si>
  <si>
    <t xml:space="preserve">  Activation yield (per deal)</t>
  </si>
  <si>
    <t xml:space="preserve">BD + admin + activation execution</t>
  </si>
  <si>
    <t xml:space="preserve">Sponsorship target: 80-90%</t>
  </si>
  <si>
    <t xml:space="preserve">  Required deals to cover fixed costs · Margin of safety</t>
  </si>
  <si>
    <t xml:space="preserve">◆  BREAKEVEN  CALCULATION</t>
  </si>
  <si>
    <t xml:space="preserve">BD lead + admin + materials</t>
  </si>
  <si>
    <t xml:space="preserve">What's left after variable</t>
  </si>
  <si>
    <t xml:space="preserve">◆  DEAL  PIPELINE  RESILIENCE</t>
  </si>
  <si>
    <t xml:space="preserve">  Avg revenue per deal</t>
  </si>
  <si>
    <t xml:space="preserve">Blended yield per deal</t>
  </si>
  <si>
    <t xml:space="preserve">  Required deals/yr</t>
  </si>
  <si>
    <t xml:space="preserve">Deals needed to breakeven</t>
  </si>
  <si>
    <t xml:space="preserve">  Current deals/yr</t>
  </si>
  <si>
    <t xml:space="preserve">  Buffer (deals above breakeven)</t>
  </si>
  <si>
    <t xml:space="preserve">  ⓘ Sponsorships have low fixed-cost floor — small BD team can support significant revenue.</t>
  </si>
  <si>
    <t xml:space="preserve">    Capacity Ceiling · Sponsorships</t>
  </si>
  <si>
    <t xml:space="preserve">Title sponsor</t>
  </si>
  <si>
    <t xml:space="preserve">Single title slot</t>
  </si>
  <si>
    <t xml:space="preserve">Zone sponsors</t>
  </si>
  <si>
    <t xml:space="preserve">3 zones (Gaming/Esports/Museum)</t>
  </si>
  <si>
    <t xml:space="preserve">Event sponsors</t>
  </si>
  <si>
    <t xml:space="preserve">Major + minor events</t>
  </si>
  <si>
    <t xml:space="preserve">Activation packages</t>
  </si>
  <si>
    <t xml:space="preserve">Branded experiences</t>
  </si>
  <si>
    <t xml:space="preserve">  SPONSORSHIPS CAPACITY:
  •  Limited by sponsor inventory (Title + 3 zones + ~12 events + ~6 activations).
  •  Pricing power scales with audience size and brand reach.
  •  Bull case: Premium brand title sponsor + GCC tournament partnerships → 3x revenue.
  •  Most asymmetric upside in the model.</t>
  </si>
  <si>
    <t xml:space="preserve">    Operating KPIs · Sponsorships</t>
  </si>
  <si>
    <t xml:space="preserve">Title sponsor confirmed</t>
  </si>
  <si>
    <t xml:space="preserve">BD Lead</t>
  </si>
  <si>
    <t xml:space="preserve">Contract signed</t>
  </si>
  <si>
    <t xml:space="preserve">Zone sponsors confirmed</t>
  </si>
  <si>
    <t xml:space="preserve">&lt;2</t>
  </si>
  <si>
    <t xml:space="preserve">Contracts signed</t>
  </si>
  <si>
    <t xml:space="preserve">Booking pipeline</t>
  </si>
  <si>
    <t xml:space="preserve">&lt;3</t>
  </si>
  <si>
    <t xml:space="preserve">Sales cycle (months)</t>
  </si>
  <si>
    <t xml:space="preserve">&gt;9</t>
  </si>
  <si>
    <t xml:space="preserve">Pipeline tracking</t>
  </si>
  <si>
    <t xml:space="preserve">Renewal rate %</t>
  </si>
  <si>
    <t xml:space="preserve">Contract renewal</t>
  </si>
  <si>
    <t xml:space="preserve">  Zone Sponsors</t>
  </si>
  <si>
    <t xml:space="preserve">  Event Sponsors</t>
  </si>
  <si>
    <t xml:space="preserve">  Activations + Naming</t>
  </si>
  <si>
    <t xml:space="preserve">  Title fee</t>
  </si>
  <si>
    <t xml:space="preserve">  Zone fee</t>
  </si>
  <si>
    <t xml:space="preserve">  Event fee</t>
  </si>
  <si>
    <t xml:space="preserve">  Activation fee</t>
  </si>
  <si>
    <t xml:space="preserve">  Title close probability</t>
  </si>
  <si>
    <t xml:space="preserve">  Zone close probability</t>
  </si>
  <si>
    <t xml:space="preserve">  Event close probability</t>
  </si>
  <si>
    <t xml:space="preserve">Each cell uses ACTUAL revenue formula (4 streams) with ONE driver shifted ±10%/±20%, others at Base.
FOR FULL SCENARIO RECALC: Set master toggle (0·SUMMARY!H7) to BEAR/BULL.</t>
  </si>
  <si>
    <t xml:space="preserve">    Industry Benchmarks · Sponsorships</t>
  </si>
  <si>
    <t xml:space="preserve">Title sponsor (1)</t>
  </si>
  <si>
    <t xml:space="preserve">$80-200K</t>
  </si>
  <si>
    <t xml:space="preserve">Casa premium brand</t>
  </si>
  <si>
    <t xml:space="preserve">Zone sponsors (3)</t>
  </si>
  <si>
    <t xml:space="preserve">$30-70K each</t>
  </si>
  <si>
    <t xml:space="preserve">Casa B2B</t>
  </si>
  <si>
    <t xml:space="preserve">$60-150K</t>
  </si>
  <si>
    <t xml:space="preserve">Per major event</t>
  </si>
  <si>
    <t xml:space="preserve">$40-100K</t>
  </si>
  <si>
    <t xml:space="preserve">Sponsorship industry</t>
  </si>
  <si>
    <t xml:space="preserve">3-9</t>
  </si>
  <si>
    <t xml:space="preserve">  SPONSORSHIPS POSITIONING:
  •  High-margin upside layer — monetizes the entire ecosystem audience for brand sponsors.
  •  Multi-tier: Title + Zone (Gaming/Esports/Museum) + Event + Activation packages.
  •  76% margin reflects low direct costs — primarily BD lead + activation production.
  •  Strategic role: Pure-margin contribution, scales with ecosystem audience growth.
  •  Major lever for upside — Bull case 3x revenue achievable with right BD execution.</t>
  </si>
  <si>
    <t xml:space="preserve">    Master Integration · Sponsorships</t>
  </si>
  <si>
    <t xml:space="preserve">'2·Master Revenue'!D14</t>
  </si>
  <si>
    <t xml:space="preserve">'3·Master Cost'!I14</t>
  </si>
  <si>
    <t xml:space="preserve">'2·Master Revenue'!F14</t>
  </si>
  <si>
    <t xml:space="preserve">'2·Master Revenue'!G14</t>
  </si>
  <si>
    <t xml:space="preserve">'2·Master Revenue'!H14</t>
  </si>
  <si>
    <t xml:space="preserve">'2·Master Revenue'!I14</t>
  </si>
  <si>
    <t xml:space="preserve">'2·Master Revenue'!J14</t>
  </si>
  <si>
    <t xml:space="preserve">  • ALL PILLARS: Sponsorships monetize entire ecosystem audience.
  • Title sponsor → Brand visibility across all pillars.
  • Zone sponsors (3) → Tied to Gaming + Esports + Museum.
  • Event sponsors → Tied to Events Hall + Esports tournaments.</t>
  </si>
  <si>
    <t xml:space="preserve">  Borderless · SUMMARY Dashboard</t>
  </si>
  <si>
    <t xml:space="preserve">  Talent Agency (commission)</t>
  </si>
  <si>
    <t xml:space="preserve">  External Education (B2B + gov)</t>
  </si>
  <si>
    <t xml:space="preserve">  Exhibitions / Touring</t>
  </si>
  <si>
    <t xml:space="preserve">Borderless % of Total</t>
  </si>
  <si>
    <t xml:space="preserve">Asset-light international expansion: Academy graduates placed abroad + external education licensing + touring exhibitions. Highest scaling potential per $ capex.</t>
  </si>
  <si>
    <t xml:space="preserve">  Drivers · Talent Agency · Education · Exhibitions</t>
  </si>
  <si>
    <t xml:space="preserve">  3 streams · Cross-pillar Academy pipeline visible · Toggle-driven</t>
  </si>
  <si>
    <t xml:space="preserve">🎯  SCENARIO  LOOKUP  TABLE</t>
  </si>
  <si>
    <t xml:space="preserve">  Active talents (placed externally)</t>
  </si>
  <si>
    <t xml:space="preserve">From Academy pipeline · Y4 mature placement count</t>
  </si>
  <si>
    <t xml:space="preserve">  Avg annual earnings per talent ($)</t>
  </si>
  <si>
    <t xml:space="preserve">Junior-mid Casa creative tech market</t>
  </si>
  <si>
    <t xml:space="preserve">  Agency commission %</t>
  </si>
  <si>
    <t xml:space="preserve">Industry standard talent agency commission</t>
  </si>
  <si>
    <t xml:space="preserve">  External education programs/yr</t>
  </si>
  <si>
    <t xml:space="preserve">Corporate training + schools + government partnerships</t>
  </si>
  <si>
    <t xml:space="preserve">  Avg fee per program ($)</t>
  </si>
  <si>
    <t xml:space="preserve">Casa B2B training rate</t>
  </si>
  <si>
    <t xml:space="preserve">  Exhibitions / Touring activations/yr</t>
  </si>
  <si>
    <t xml:space="preserve">Casa malls + festivals + other cities/countries</t>
  </si>
  <si>
    <t xml:space="preserve">  Avg revenue per activation ($)</t>
  </si>
  <si>
    <t xml:space="preserve">Setup fees + participation + revenue share</t>
  </si>
  <si>
    <t xml:space="preserve">◆  CROSS-PILLAR  TAM  —  ACADEMY  PIPELINE  (HARDCODED · LIVE LINK in Master)</t>
  </si>
  <si>
    <t xml:space="preserve">  Academy active students/month</t>
  </si>
  <si>
    <t xml:space="preserve">  Academy annual graduate flow (~)</t>
  </si>
  <si>
    <t xml:space="preserve">Approx Y4 graduates (across 3-12mo cohorts)</t>
  </si>
  <si>
    <t xml:space="preserve">  ⓘ Talent count is INDEPENDENT input but visible TAM proves achievability — 80 talents from 200+ annual grads = 40% conversion</t>
  </si>
  <si>
    <t xml:space="preserve">  Active talents</t>
  </si>
  <si>
    <t xml:space="preserve">→ Talent Agency revenue</t>
  </si>
  <si>
    <t xml:space="preserve">  Active avg earnings/talent</t>
  </si>
  <si>
    <t xml:space="preserve">  Active commission %</t>
  </si>
  <si>
    <t xml:space="preserve">  Active education programs/yr</t>
  </si>
  <si>
    <t xml:space="preserve">→ External Education revenue</t>
  </si>
  <si>
    <t xml:space="preserve">  Active fee/program</t>
  </si>
  <si>
    <t xml:space="preserve">  Active activations/yr</t>
  </si>
  <si>
    <t xml:space="preserve">→ Exhibitions revenue</t>
  </si>
  <si>
    <t xml:space="preserve">  Active rev/activation</t>
  </si>
  <si>
    <t xml:space="preserve">◆  STREAM  REVENUE  COMPONENTS  (annual, mature year)</t>
  </si>
  <si>
    <t xml:space="preserve">  Talent Agency revenue</t>
  </si>
  <si>
    <t xml:space="preserve">Talents × earnings × commission %</t>
  </si>
  <si>
    <t xml:space="preserve">  External Education revenue</t>
  </si>
  <si>
    <t xml:space="preserve">Programs × fee</t>
  </si>
  <si>
    <t xml:space="preserve">  Exhibitions / Touring revenue</t>
  </si>
  <si>
    <t xml:space="preserve">Activations × revenue per activation</t>
  </si>
  <si>
    <t xml:space="preserve">  TOTAL BORDERLESS REVENUE</t>
  </si>
  <si>
    <t xml:space="preserve">All 3 streams combined</t>
  </si>
  <si>
    <t xml:space="preserve">◆  COST  DRIVERS  (BD + trainers + travel/setup · target 25-35% of revenue)</t>
  </si>
  <si>
    <t xml:space="preserve">    BD / Partnerships lead (0.5 FTE)</t>
  </si>
  <si>
    <t xml:space="preserve">Senior part-time — efficient at Y4 scale</t>
  </si>
  <si>
    <t xml:space="preserve">    Talent agency coordinator (REMOVED — handled by BD lead)</t>
  </si>
  <si>
    <t xml:space="preserve">Combined into BD lead role</t>
  </si>
  <si>
    <t xml:space="preserve">    Marketing + brand / outreach (annual)</t>
  </si>
  <si>
    <t xml:space="preserve">Focused B2B + targeted touring promo</t>
  </si>
  <si>
    <t xml:space="preserve">Talent contracts + B2B agreements</t>
  </si>
  <si>
    <t xml:space="preserve">    Trainer cost % of education revenue</t>
  </si>
  <si>
    <t xml:space="preserve">Internal Academy team trainers (mark up over salary)</t>
  </si>
  <si>
    <t xml:space="preserve">    Exhibition setup % of activation revenue</t>
  </si>
  <si>
    <t xml:space="preserve">Proven setup discipline + reusable assets</t>
  </si>
  <si>
    <t xml:space="preserve">    Talent payment processing % of revenue</t>
  </si>
  <si>
    <t xml:space="preserve">    BD commission % of new education + touring</t>
  </si>
  <si>
    <t xml:space="preserve">External agent commission</t>
  </si>
  <si>
    <t xml:space="preserve">    Assumption Register · Borderless</t>
  </si>
  <si>
    <t xml:space="preserve"># Talents managed</t>
  </si>
  <si>
    <t xml:space="preserve">Academy graduate flow</t>
  </si>
  <si>
    <t xml:space="preserve">⚠ Talent count UNVALIDATED — depends on Academy graduate flow + retention as agency clients</t>
  </si>
  <si>
    <t xml:space="preserve">Avg talent earnings</t>
  </si>
  <si>
    <t xml:space="preserve">Industry average</t>
  </si>
  <si>
    <t xml:space="preserve">Junior-mid Casa creative-tech earnings; ramps with experience</t>
  </si>
  <si>
    <t xml:space="preserve">Commission %</t>
  </si>
  <si>
    <t xml:space="preserve">Standard talent agency commission 8-15%; Pixoul takes 10% Base</t>
  </si>
  <si>
    <t xml:space="preserve">External programs/yr</t>
  </si>
  <si>
    <t xml:space="preserve">B2B sales pipeline</t>
  </si>
  <si>
    <t xml:space="preserve">⚠ External education programs UNVALIDATED — Casa B2B/gov pipeline thin without dedicated BD</t>
  </si>
  <si>
    <t xml:space="preserve">Avg program price</t>
  </si>
  <si>
    <t xml:space="preserve">B2B program pricing</t>
  </si>
  <si>
    <t xml:space="preserve">Casa B2B training rate; intl trainers benchmark $1,200-5,950/day</t>
  </si>
  <si>
    <t xml:space="preserve">Exhibitions/yr</t>
  </si>
  <si>
    <t xml:space="preserve">Casa + GCC pipeline</t>
  </si>
  <si>
    <t xml:space="preserve">⚠ Exhibitions/touring count UNVALIDATED — biggest Bull lever, weakest evidence</t>
  </si>
  <si>
    <t xml:space="preserve">Avg exhibition revenue</t>
  </si>
  <si>
    <t xml:space="preserve">Per activation</t>
  </si>
  <si>
    <t xml:space="preserve">Activation revenue range $18-45K — Casa malls pay this for branded experiences</t>
  </si>
  <si>
    <t xml:space="preserve">BD Lead 0.5 FTE Casa rate — verifiable</t>
  </si>
  <si>
    <t xml:space="preserve">Production costs %</t>
  </si>
  <si>
    <t xml:space="preserve">Activation budgets</t>
  </si>
  <si>
    <t xml:space="preserve">Production costs % — reusable assets bring this down over time</t>
  </si>
  <si>
    <t xml:space="preserve">Service-based</t>
  </si>
  <si>
    <t xml:space="preserve">Services business — no inventory</t>
  </si>
  <si>
    <t xml:space="preserve">Talent payment cycles + B2B sponsor net-30 to net-60</t>
  </si>
  <si>
    <t xml:space="preserve">Asset-light</t>
  </si>
  <si>
    <t xml:space="preserve">Asset-light — touring uses reusable kit</t>
  </si>
  <si>
    <t xml:space="preserve">  Talent Agency + External Education + Exhibitions/Touring</t>
  </si>
  <si>
    <t xml:space="preserve">◆  STREAM  1  —  TALENT  AGENCY  (Academy graduates placed externally)</t>
  </si>
  <si>
    <t xml:space="preserve">  Talent Agency — commission revenue</t>
  </si>
  <si>
    <t xml:space="preserve">  Talent Agency SUBTOTAL</t>
  </si>
  <si>
    <t xml:space="preserve">◆  STREAM  2  —  EXTERNAL  EDUCATION  (B2B + schools + government)</t>
  </si>
  <si>
    <t xml:space="preserve">Programs</t>
  </si>
  <si>
    <t xml:space="preserve">$/program</t>
  </si>
  <si>
    <t xml:space="preserve">  External Education — corporate + institutional</t>
  </si>
  <si>
    <t xml:space="preserve">Programs × avg fee per program</t>
  </si>
  <si>
    <t xml:space="preserve">  Education SUBTOTAL</t>
  </si>
  <si>
    <t xml:space="preserve">◆  STREAM  3  —  EXHIBITIONS / TOURING  (external activations)</t>
  </si>
  <si>
    <t xml:space="preserve">Activations</t>
  </si>
  <si>
    <t xml:space="preserve">$/activation</t>
  </si>
  <si>
    <t xml:space="preserve">  Exhibitions / Touring activations</t>
  </si>
  <si>
    <t xml:space="preserve">  Exhibitions SUBTOTAL</t>
  </si>
  <si>
    <t xml:space="preserve">◆  TOTAL  BORDERLESS  REVENUE  (Y4 mature)</t>
  </si>
  <si>
    <t xml:space="preserve">◆  CROSS-PILLAR  TAM  (Academy pipeline visibility)</t>
  </si>
  <si>
    <t xml:space="preserve">  Academy active students/month (TAM)</t>
  </si>
  <si>
    <t xml:space="preserve">→ From Pillar 03 Academy</t>
  </si>
  <si>
    <t xml:space="preserve">→ Independent input · 40% of annual grad flow</t>
  </si>
  <si>
    <t xml:space="preserve">  Direct Costs · BD + Trainers + Setup</t>
  </si>
  <si>
    <t xml:space="preserve">  Light operating cost · Mostly variable to revenue</t>
  </si>
  <si>
    <t xml:space="preserve">Per Stream</t>
  </si>
  <si>
    <t xml:space="preserve">  BD / Partnerships lead (1 FTE)</t>
  </si>
  <si>
    <t xml:space="preserve">  Talent agency coordinator (0.5 FTE)</t>
  </si>
  <si>
    <t xml:space="preserve">Talent placement + relationships</t>
  </si>
  <si>
    <t xml:space="preserve">  Marketing + brand outreach</t>
  </si>
  <si>
    <t xml:space="preserve">⚠ MOVED to Master Cost C44 (Central Marketing $300K) | (was: B2B + touring promo)</t>
  </si>
  <si>
    <t xml:space="preserve">Talent + B2B agreements</t>
  </si>
  <si>
    <t xml:space="preserve">  Trainer cost (% of education rev)</t>
  </si>
  <si>
    <t xml:space="preserve">Education</t>
  </si>
  <si>
    <t xml:space="preserve">40% — external trainers + materials</t>
  </si>
  <si>
    <t xml:space="preserve">  Exhibition setup (% of activation rev)</t>
  </si>
  <si>
    <t xml:space="preserve">Touring</t>
  </si>
  <si>
    <t xml:space="preserve">30% — travel + logistics + build</t>
  </si>
  <si>
    <t xml:space="preserve">⚠ MOVED to Master Cost C50 ($84K centralized) | (was: Card fees on all revenue)</t>
  </si>
  <si>
    <t xml:space="preserve">  BD commission (new education + touring)</t>
  </si>
  <si>
    <t xml:space="preserve">5% — external agent</t>
  </si>
  <si>
    <t xml:space="preserve">◆  EBITDA  (target 65-75%)</t>
  </si>
  <si>
    <t xml:space="preserve">Target: 65-75%</t>
  </si>
  <si>
    <t xml:space="preserve">    Eight-Year Projection · Borderless</t>
  </si>
  <si>
    <t xml:space="preserve">    Profit &amp; Loss · Borderless</t>
  </si>
  <si>
    <t xml:space="preserve">    Cash Flow Forecast · Borderless</t>
  </si>
  <si>
    <t xml:space="preserve">  Unit Economics · Per-Talent · Per-Program · Per-Activation</t>
  </si>
  <si>
    <t xml:space="preserve">  Stream-level economics · Cross-pillar yield</t>
  </si>
  <si>
    <t xml:space="preserve">Placed externally</t>
  </si>
  <si>
    <t xml:space="preserve">  Revenue per talent (annual)</t>
  </si>
  <si>
    <t xml:space="preserve">Earnings × commission %</t>
  </si>
  <si>
    <t xml:space="preserve">  Talent Agency total</t>
  </si>
  <si>
    <t xml:space="preserve">Talents × per-talent revenue</t>
  </si>
  <si>
    <t xml:space="preserve">  Programs/year</t>
  </si>
  <si>
    <t xml:space="preserve">External education programs</t>
  </si>
  <si>
    <t xml:space="preserve">  Revenue per program</t>
  </si>
  <si>
    <t xml:space="preserve">Avg fee per B2B program</t>
  </si>
  <si>
    <t xml:space="preserve">  External Education total</t>
  </si>
  <si>
    <t xml:space="preserve">  Activations/year</t>
  </si>
  <si>
    <t xml:space="preserve">External activations</t>
  </si>
  <si>
    <t xml:space="preserve">  Revenue per activation</t>
  </si>
  <si>
    <t xml:space="preserve">Setup + participation + rev share</t>
  </si>
  <si>
    <t xml:space="preserve">  Exhibitions total</t>
  </si>
  <si>
    <t xml:space="preserve">Activations × revenue per</t>
  </si>
  <si>
    <t xml:space="preserve">◆  CROSS-PILLAR  YIELD  (Borderless converts ecosystem)</t>
  </si>
  <si>
    <t xml:space="preserve">  Academy active students/mo (TAM)</t>
  </si>
  <si>
    <t xml:space="preserve">Source pipeline</t>
  </si>
  <si>
    <t xml:space="preserve">  Talent conversion rate (talents/grads)</t>
  </si>
  <si>
    <t xml:space="preserve">% of annual graduates placed</t>
  </si>
  <si>
    <t xml:space="preserve">  Revenue per student in pipeline</t>
  </si>
  <si>
    <t xml:space="preserve">Borderless rev ÷ Academy total student-months</t>
  </si>
  <si>
    <t xml:space="preserve">BD + trainers + travel</t>
  </si>
  <si>
    <t xml:space="preserve">Borderless target: 65-75%</t>
  </si>
  <si>
    <t xml:space="preserve">  Required deals/programs/talents to cover BD investment</t>
  </si>
  <si>
    <t xml:space="preserve">BD lead + coordinator + marketing + legal</t>
  </si>
  <si>
    <t xml:space="preserve">After variable costs</t>
  </si>
  <si>
    <t xml:space="preserve">  BREAKEVEN REVENUE</t>
  </si>
  <si>
    <t xml:space="preserve">◆  STREAM-LEVEL  BREAKEVEN</t>
  </si>
  <si>
    <t xml:space="preserve">  Avg revenue per activation</t>
  </si>
  <si>
    <t xml:space="preserve">Highest leverage driver</t>
  </si>
  <si>
    <t xml:space="preserve">  Activations to breakeven (alone)</t>
  </si>
  <si>
    <t xml:space="preserve">If only touring stream existed</t>
  </si>
  <si>
    <t xml:space="preserve">  Avg revenue per program</t>
  </si>
  <si>
    <t xml:space="preserve">Education programs</t>
  </si>
  <si>
    <t xml:space="preserve">  Programs to breakeven (alone)</t>
  </si>
  <si>
    <t xml:space="preserve">If only education stream existed</t>
  </si>
  <si>
    <t xml:space="preserve">  ⓘ Borderless has the lowest fixed cost burden of any pillar — 5-7 well-priced deals cover the year.</t>
  </si>
  <si>
    <t xml:space="preserve">    Capacity Ceiling · Borderless</t>
  </si>
  <si>
    <t xml:space="preserve">Talents managed</t>
  </si>
  <si>
    <t xml:space="preserve">Talents × avg earnings × commission</t>
  </si>
  <si>
    <t xml:space="preserve">External programs</t>
  </si>
  <si>
    <t xml:space="preserve">Programs × avg price</t>
  </si>
  <si>
    <t xml:space="preserve">Exhibitions/year</t>
  </si>
  <si>
    <t xml:space="preserve">Activations × avg revenue</t>
  </si>
  <si>
    <t xml:space="preserve">Cohort revenue share</t>
  </si>
  <si>
    <t xml:space="preserve">Stacking from past cohorts</t>
  </si>
  <si>
    <t xml:space="preserve">  BORDERLESS CAPACITY:
  •  Talent Agency: scales with talent pool (Academy alumni + external onboarding).
  •  External Education: scales with B2B pipeline + program design capacity.
  •  Exhibitions/Touring: scales with crew + design + venue partnerships.
  •  Bull case: GCC + MENA expansion → 3x revenue achievable in 24-36 months.</t>
  </si>
  <si>
    <t xml:space="preserve">    Operating KPIs · Borderless</t>
  </si>
  <si>
    <t xml:space="preserve">Active talents managed</t>
  </si>
  <si>
    <t xml:space="preserve">&lt;60% of target</t>
  </si>
  <si>
    <t xml:space="preserve">Borderless Lead</t>
  </si>
  <si>
    <t xml:space="preserve">Talent CRM</t>
  </si>
  <si>
    <t xml:space="preserve">Programs in pipeline</t>
  </si>
  <si>
    <t xml:space="preserve">&lt;4</t>
  </si>
  <si>
    <t xml:space="preserve">CRM pipeline</t>
  </si>
  <si>
    <t xml:space="preserve">Exhibitions confirmed</t>
  </si>
  <si>
    <t xml:space="preserve">Booking calendar</t>
  </si>
  <si>
    <t xml:space="preserve">Avg commission rate %</t>
  </si>
  <si>
    <t xml:space="preserve">&lt;7%</t>
  </si>
  <si>
    <t xml:space="preserve">Contract terms</t>
  </si>
  <si>
    <t xml:space="preserve">Talent retention %</t>
  </si>
  <si>
    <t xml:space="preserve">Roster tracking</t>
  </si>
  <si>
    <t xml:space="preserve">Repeat client rate %</t>
  </si>
  <si>
    <t xml:space="preserve">B2B repeat business</t>
  </si>
  <si>
    <t xml:space="preserve">  Bear / Base / Bull Scenarios + Upside Narrative</t>
  </si>
  <si>
    <t xml:space="preserve">  Side-by-side comparison · Scaling story</t>
  </si>
  <si>
    <t xml:space="preserve">🚀  UPSIDE  NARRATIVE  (key for valuation story per GPT spec)</t>
  </si>
  <si>
    <t xml:space="preserve">Borderless can SCALE WITHOUT NEW PHYSICAL LOCATIONS:
  • Talent Agency — Each new Academy cohort adds 30-50 placeable talents/yr. By Y6, with 200+ active talents and rising commission rates, agency revenue could reach $90-130K alone (3-4× Base $36K).
  • External Education — Once 2-3 anchor B2B partnerships land (corporates, ministries, international schools), program count compounds. Y6 target: 30-40 programs/yr × $5-7K = $180-260K (2-3× Base $72K).
  • Exhibitions/Touring — Mall activations + festival circuits + GCC expansion (Dubai, Riyadh, Kuwait) drive 8-15 activations/yr at $30-50K each. Y6 target: $300-600K (2-4× Base $140K).
→ TOTAL UPSIDE PATH: $570K - $1M+ by Y6 (vs $248K Y4 Base) without any new physical site.</t>
  </si>
  <si>
    <t xml:space="preserve">  Avg earnings per talent</t>
  </si>
  <si>
    <t xml:space="preserve">  Education programs/yr</t>
  </si>
  <si>
    <t xml:space="preserve">  Education fee per program</t>
  </si>
  <si>
    <t xml:space="preserve">  Activations/yr</t>
  </si>
  <si>
    <t xml:space="preserve">Each cell uses ACTUAL revenue formula (3 streams: Talent Agency + Education + Touring) with ONE driver shifted ±10%/±20%, others at Base.
Touring activations is the highest-leverage driver — each additional activation is ~$28K. Education fees scale with B2B sales motion.</t>
  </si>
  <si>
    <t xml:space="preserve">    Industry Benchmarks · Borderless</t>
  </si>
  <si>
    <t xml:space="preserve">Talent Agency revenue</t>
  </si>
  <si>
    <t xml:space="preserve">$30-150K</t>
  </si>
  <si>
    <t xml:space="preserve">Industry commission rates</t>
  </si>
  <si>
    <t xml:space="preserve">External Education</t>
  </si>
  <si>
    <t xml:space="preserve">$60-260K</t>
  </si>
  <si>
    <t xml:space="preserve">B2B + corporate + schools</t>
  </si>
  <si>
    <t xml:space="preserve">Exhibitions/Touring</t>
  </si>
  <si>
    <t xml:space="preserve">$140-600K</t>
  </si>
  <si>
    <t xml:space="preserve">Per activation × 5-15/yr</t>
  </si>
  <si>
    <t xml:space="preserve">Talent placements/yr</t>
  </si>
  <si>
    <t xml:space="preserve">Programs delivered/yr</t>
  </si>
  <si>
    <t xml:space="preserve">12-40</t>
  </si>
  <si>
    <t xml:space="preserve">B2B contracts</t>
  </si>
  <si>
    <t xml:space="preserve">Activations/yr</t>
  </si>
  <si>
    <t xml:space="preserve">5-15</t>
  </si>
  <si>
    <t xml:space="preserve">Casa malls + festivals + GCC</t>
  </si>
  <si>
    <t xml:space="preserve">  BORDERLESS POSITIONING:
  •  Asset-light scale layer — exports brand, IP, and talent OUTSIDE Casa.
  •  3 sub-streams: Talent Agency (commissions) + External Education (B2B) + Exhibitions/Touring.
  •  63% margin reflects light overhead structure — BD lead + production-as-needed.
  •  Strategic role: SCALE LAYER — multiplies platform value without new physical CapEx.
  •  Major lever for Y6+ upside — Y6 target $500K+ achievable with regional expansion.</t>
  </si>
  <si>
    <t xml:space="preserve">    Master Integration · Borderless</t>
  </si>
  <si>
    <t xml:space="preserve">'2·Master Revenue'!D15</t>
  </si>
  <si>
    <t xml:space="preserve">'3·Master Cost'!I15</t>
  </si>
  <si>
    <t xml:space="preserve">'2·Master Revenue'!F15</t>
  </si>
  <si>
    <t xml:space="preserve">'2·Master Revenue'!G15</t>
  </si>
  <si>
    <t xml:space="preserve">'2·Master Revenue'!H15</t>
  </si>
  <si>
    <t xml:space="preserve">'2·Master Revenue'!I15</t>
  </si>
  <si>
    <t xml:space="preserve">'2·Master Revenue'!J15</t>
  </si>
  <si>
    <t xml:space="preserve">  • Academy (03): Academy graduates → Talent Agency feedstock.
  • Museum (05): Museum content → Travelling Exhibitions.
  • External markets — exports brand outside Casa.
  • Sponsorships (08): Talent agency sponsors / co-branded activations.</t>
  </si>
</sst>
</file>

<file path=xl/styles.xml><?xml version="1.0" encoding="utf-8"?>
<styleSheet xmlns="http://schemas.openxmlformats.org/spreadsheetml/2006/main">
  <numFmts count="55">
    <numFmt numFmtId="164" formatCode="General"/>
    <numFmt numFmtId="165" formatCode="\$#,##0"/>
    <numFmt numFmtId="166" formatCode="0.0%"/>
    <numFmt numFmtId="167" formatCode="#,##0"/>
    <numFmt numFmtId="168" formatCode="General"/>
    <numFmt numFmtId="169" formatCode="0.00\×"/>
    <numFmt numFmtId="170" formatCode="0.00%"/>
    <numFmt numFmtId="171" formatCode="0.000\×"/>
    <numFmt numFmtId="172" formatCode="0&quot; years&quot;"/>
    <numFmt numFmtId="173" formatCode="0.0000\×"/>
    <numFmt numFmtId="174" formatCode="0%"/>
    <numFmt numFmtId="175" formatCode="0.00"/>
    <numFmt numFmtId="176" formatCode="0"/>
    <numFmt numFmtId="177" formatCode="\+0.0%;\-0.0%"/>
    <numFmt numFmtId="178" formatCode="0.0\×"/>
    <numFmt numFmtId="179" formatCode="\$#,##0;&quot;($&quot;#,##0\)"/>
    <numFmt numFmtId="180" formatCode="0\×"/>
    <numFmt numFmtId="181" formatCode="\$#,##0.00"/>
    <numFmt numFmtId="182" formatCode="0.0"/>
    <numFmt numFmtId="183" formatCode="0.0&quot; years&quot;"/>
    <numFmt numFmtId="184" formatCode="0.0%;\(0.0%\)"/>
    <numFmt numFmtId="185" formatCode="0.0&quot; yrs&quot;"/>
    <numFmt numFmtId="186" formatCode="0.00\x"/>
    <numFmt numFmtId="187" formatCode="@"/>
    <numFmt numFmtId="188" formatCode="0.0\x"/>
    <numFmt numFmtId="189" formatCode="\+0.0%"/>
    <numFmt numFmtId="190" formatCode="\$#,##0;[RED]&quot;($&quot;#,##0\)"/>
    <numFmt numFmtId="191" formatCode="#,##0&quot; flows tracked&quot;"/>
    <numFmt numFmtId="192" formatCode="&quot;qual.&quot;"/>
    <numFmt numFmtId="193" formatCode="#,##0&quot; visitors/wk&quot;"/>
    <numFmt numFmtId="194" formatCode="#,##0&quot; events/mo&quot;"/>
    <numFmt numFmtId="195" formatCode="#,##0&quot; deal(s)&quot;"/>
    <numFmt numFmtId="196" formatCode="&quot;+$&quot;#,##0;&quot;-$&quot;#,##0;\$0"/>
    <numFmt numFmtId="197" formatCode="0.0%;[RED]\-0.0%"/>
    <numFmt numFmtId="198" formatCode="0.0000"/>
    <numFmt numFmtId="199" formatCode="0.0%;\(0.0%\);\—"/>
    <numFmt numFmtId="200" formatCode="0.000"/>
    <numFmt numFmtId="201" formatCode="#,##0.0"/>
    <numFmt numFmtId="202" formatCode="#,##0&quot; deals&quot;"/>
    <numFmt numFmtId="203" formatCode="0.000\x"/>
    <numFmt numFmtId="204" formatCode="0&quot; days&quot;"/>
    <numFmt numFmtId="205" formatCode="\$#,##0;[RED]&quot;-$&quot;#,##0"/>
    <numFmt numFmtId="206" formatCode="0.0&quot; months&quot;"/>
    <numFmt numFmtId="207" formatCode="#,##0.00"/>
    <numFmt numFmtId="208" formatCode="#,##0&quot; leads&quot;"/>
    <numFmt numFmtId="209" formatCode="\+#,##0;\-#,##0;0"/>
    <numFmt numFmtId="210" formatCode="0.0&quot; FTE&quot;"/>
    <numFmt numFmtId="211" formatCode="\+0.0%;\-0.0%;0.0%"/>
    <numFmt numFmtId="212" formatCode="#,##0.0&quot; events&quot;"/>
    <numFmt numFmtId="213" formatCode="\+#,##0.0;\-#,##0.0;0"/>
    <numFmt numFmtId="214" formatCode="0.0&quot; mo&quot;"/>
    <numFmt numFmtId="215" formatCode="\+0.0;\-0.0;0"/>
    <numFmt numFmtId="216" formatCode="\+0;\-0;0"/>
    <numFmt numFmtId="217" formatCode="#,##0&quot; hrs&quot;"/>
    <numFmt numFmtId="218" formatCode="0.0&quot; yr&quot;"/>
  </numFmts>
  <fonts count="207">
    <font>
      <sz val="11"/>
      <color theme="1"/>
      <name val="Calibri"/>
      <family val="2"/>
      <charset val="1"/>
    </font>
    <font>
      <sz val="10"/>
      <name val="Arial"/>
      <family val="0"/>
    </font>
    <font>
      <sz val="10"/>
      <name val="Arial"/>
      <family val="0"/>
    </font>
    <font>
      <sz val="10"/>
      <name val="Arial"/>
      <family val="0"/>
    </font>
    <font>
      <b val="true"/>
      <sz val="11"/>
      <color rgb="FFE8B95E"/>
      <name val="Arial"/>
      <family val="2"/>
      <charset val="1"/>
    </font>
    <font>
      <b val="true"/>
      <sz val="24"/>
      <color rgb="FFFFFFFF"/>
      <name val="Arial"/>
      <family val="2"/>
      <charset val="1"/>
    </font>
    <font>
      <i val="true"/>
      <sz val="11"/>
      <color rgb="FFD4A94A"/>
      <name val="Arial"/>
      <family val="2"/>
      <charset val="1"/>
    </font>
    <font>
      <b val="true"/>
      <sz val="9"/>
      <color rgb="FFC9873A"/>
      <name val="Arial"/>
      <family val="2"/>
      <charset val="1"/>
    </font>
    <font>
      <b val="true"/>
      <sz val="8"/>
      <color rgb="FFD4A94A"/>
      <name val="Arial"/>
      <family val="2"/>
      <charset val="1"/>
    </font>
    <font>
      <b val="true"/>
      <sz val="14"/>
      <color rgb="FFFFFFFF"/>
      <name val="Arial"/>
      <family val="2"/>
      <charset val="1"/>
    </font>
    <font>
      <b val="true"/>
      <sz val="48"/>
      <color rgb="FFE8B95E"/>
      <name val="Arial"/>
      <family val="2"/>
      <charset val="1"/>
    </font>
    <font>
      <i val="true"/>
      <sz val="10"/>
      <color rgb="FFE8B95E"/>
      <name val="Arial"/>
      <family val="2"/>
      <charset val="1"/>
    </font>
    <font>
      <sz val="11"/>
      <color rgb="FF0D1530"/>
      <name val="Arial"/>
      <family val="2"/>
      <charset val="1"/>
    </font>
    <font>
      <b val="true"/>
      <u val="single"/>
      <sz val="11"/>
      <color theme="0"/>
      <name val="Cambria"/>
      <family val="1"/>
      <charset val="1"/>
    </font>
    <font>
      <b val="true"/>
      <sz val="12"/>
      <color rgb="FFE8B95E"/>
      <name val="Arial"/>
      <family val="2"/>
      <charset val="1"/>
    </font>
    <font>
      <b val="true"/>
      <sz val="10"/>
      <color rgb="FFE8B95E"/>
      <name val="Arial"/>
      <family val="2"/>
      <charset val="1"/>
    </font>
    <font>
      <sz val="9"/>
      <color rgb="FF0D1530"/>
      <name val="Arial"/>
      <family val="2"/>
      <charset val="1"/>
    </font>
    <font>
      <i val="true"/>
      <sz val="10"/>
      <color rgb="FF666666"/>
      <name val="Cambria"/>
      <family val="1"/>
      <charset val="1"/>
    </font>
    <font>
      <b val="true"/>
      <u val="single"/>
      <sz val="11"/>
      <color rgb="FF0563C1"/>
      <name val="Cambria"/>
      <family val="1"/>
      <charset val="1"/>
    </font>
    <font>
      <b val="true"/>
      <u val="single"/>
      <sz val="11"/>
      <color rgb="FF0070C0"/>
      <name val="Cambria"/>
      <family val="1"/>
      <charset val="1"/>
    </font>
    <font>
      <i val="true"/>
      <sz val="10"/>
      <color rgb="FF0D1530"/>
      <name val="Arial"/>
      <family val="2"/>
      <charset val="1"/>
    </font>
    <font>
      <sz val="9"/>
      <color rgb="FFC9873A"/>
      <name val="Arial"/>
      <family val="2"/>
      <charset val="1"/>
    </font>
    <font>
      <b val="true"/>
      <sz val="18"/>
      <color rgb="FFFFFFFF"/>
      <name val="Arial"/>
      <family val="2"/>
      <charset val="1"/>
    </font>
    <font>
      <sz val="12"/>
      <color rgb="FFD4A94A"/>
      <name val="Arial"/>
      <family val="2"/>
      <charset val="1"/>
    </font>
    <font>
      <i val="true"/>
      <sz val="10"/>
      <color rgb="FF5C6A8A"/>
      <name val="Arial"/>
      <family val="2"/>
      <charset val="1"/>
    </font>
    <font>
      <b val="true"/>
      <sz val="11"/>
      <color rgb="FFFFFFFF"/>
      <name val="Arial"/>
      <family val="2"/>
      <charset val="1"/>
    </font>
    <font>
      <b val="true"/>
      <sz val="10"/>
      <color rgb="FF0D1530"/>
      <name val="Arial"/>
      <family val="2"/>
      <charset val="1"/>
    </font>
    <font>
      <sz val="10"/>
      <color rgb="FF0D1530"/>
      <name val="Arial"/>
      <family val="2"/>
      <charset val="1"/>
    </font>
    <font>
      <sz val="10"/>
      <color rgb="FF0070C0"/>
      <name val="Arial"/>
      <family val="2"/>
      <charset val="1"/>
    </font>
    <font>
      <b val="true"/>
      <sz val="10"/>
      <color rgb="FF0070C0"/>
      <name val="Arial"/>
      <family val="2"/>
      <charset val="1"/>
    </font>
    <font>
      <b val="true"/>
      <sz val="9"/>
      <color rgb="FFFFFFFF"/>
      <name val="Arial"/>
      <family val="2"/>
      <charset val="1"/>
    </font>
    <font>
      <b val="true"/>
      <u val="single"/>
      <sz val="10"/>
      <color rgb="FF0563C1"/>
      <name val="Arial"/>
      <family val="2"/>
      <charset val="1"/>
    </font>
    <font>
      <sz val="10"/>
      <color rgb="FF000000"/>
      <name val="Arial"/>
      <family val="2"/>
      <charset val="1"/>
    </font>
    <font>
      <u val="single"/>
      <sz val="10"/>
      <color rgb="FF0563C1"/>
      <name val="Arial"/>
      <family val="2"/>
      <charset val="1"/>
    </font>
    <font>
      <b val="true"/>
      <sz val="11"/>
      <color rgb="FF0070C0"/>
      <name val="Arial"/>
      <family val="2"/>
      <charset val="1"/>
    </font>
    <font>
      <i val="true"/>
      <sz val="9"/>
      <color rgb="FF0070C0"/>
      <name val="Arial"/>
      <family val="2"/>
      <charset val="1"/>
    </font>
    <font>
      <b val="true"/>
      <sz val="11"/>
      <color rgb="FF0D1530"/>
      <name val="Arial"/>
      <family val="2"/>
      <charset val="1"/>
    </font>
    <font>
      <i val="true"/>
      <sz val="9"/>
      <color rgb="FF0D1530"/>
      <name val="Arial"/>
      <family val="2"/>
      <charset val="1"/>
    </font>
    <font>
      <sz val="9"/>
      <color rgb="FF5C6A8A"/>
      <name val="Arial"/>
      <family val="2"/>
      <charset val="1"/>
    </font>
    <font>
      <i val="true"/>
      <sz val="9"/>
      <color rgb="FF5C6A8A"/>
      <name val="Arial"/>
      <family val="2"/>
      <charset val="1"/>
    </font>
    <font>
      <b val="true"/>
      <sz val="10"/>
      <color rgb="FFD4A94A"/>
      <name val="Arial"/>
      <family val="2"/>
      <charset val="1"/>
    </font>
    <font>
      <sz val="10"/>
      <color rgb="FFD4A94A"/>
      <name val="Arial"/>
      <family val="2"/>
      <charset val="1"/>
    </font>
    <font>
      <b val="true"/>
      <sz val="12"/>
      <color rgb="FF0D1530"/>
      <name val="Arial"/>
      <family val="2"/>
      <charset val="1"/>
    </font>
    <font>
      <b val="true"/>
      <sz val="16"/>
      <color rgb="FF000000"/>
      <name val="Arial"/>
      <family val="2"/>
      <charset val="1"/>
    </font>
    <font>
      <b val="true"/>
      <sz val="14"/>
      <color rgb="FFC9873A"/>
      <name val="Arial"/>
      <family val="2"/>
      <charset val="1"/>
    </font>
    <font>
      <b val="true"/>
      <sz val="12"/>
      <color rgb="FF050A14"/>
      <name val="Calibri"/>
      <family val="2"/>
      <charset val="1"/>
    </font>
    <font>
      <i val="true"/>
      <sz val="9"/>
      <color rgb="FF666666"/>
      <name val="Calibri"/>
      <family val="2"/>
      <charset val="1"/>
    </font>
    <font>
      <b val="true"/>
      <sz val="10"/>
      <color rgb="FFFFFFFF"/>
      <name val="Arial"/>
      <family val="2"/>
      <charset val="1"/>
    </font>
    <font>
      <b val="true"/>
      <sz val="14"/>
      <color rgb="FF000000"/>
      <name val="Arial"/>
      <family val="2"/>
      <charset val="1"/>
    </font>
    <font>
      <b val="true"/>
      <sz val="14"/>
      <color rgb="FF0070C0"/>
      <name val="Arial"/>
      <family val="2"/>
      <charset val="1"/>
    </font>
    <font>
      <i val="true"/>
      <sz val="10"/>
      <color rgb="FF0070C0"/>
      <name val="Arial"/>
      <family val="2"/>
      <charset val="1"/>
    </font>
    <font>
      <i val="true"/>
      <sz val="9"/>
      <color rgb="FF000000"/>
      <name val="Arial"/>
      <family val="2"/>
      <charset val="1"/>
    </font>
    <font>
      <b val="true"/>
      <sz val="12"/>
      <color rgb="FF000000"/>
      <name val="Arial"/>
      <family val="2"/>
      <charset val="1"/>
    </font>
    <font>
      <b val="true"/>
      <sz val="11"/>
      <color rgb="FF000000"/>
      <name val="Arial"/>
      <family val="2"/>
      <charset val="1"/>
    </font>
    <font>
      <sz val="9"/>
      <color rgb="FF0070C0"/>
      <name val="Arial"/>
      <family val="2"/>
      <charset val="1"/>
    </font>
    <font>
      <sz val="11"/>
      <color rgb="FF000000"/>
      <name val="Arial"/>
      <family val="2"/>
      <charset val="1"/>
    </font>
    <font>
      <sz val="11"/>
      <color rgb="FF0070C0"/>
      <name val="Arial"/>
      <family val="2"/>
      <charset val="1"/>
    </font>
    <font>
      <b val="true"/>
      <sz val="9"/>
      <color rgb="FF1C7A6F"/>
      <name val="Arial"/>
      <family val="2"/>
      <charset val="1"/>
    </font>
    <font>
      <sz val="11"/>
      <color rgb="FF0070C0"/>
      <name val="Cambria"/>
      <family val="1"/>
      <charset val="1"/>
    </font>
    <font>
      <b val="true"/>
      <sz val="11"/>
      <color rgb="FFFFFFFF"/>
      <name val="Calibri"/>
      <family val="2"/>
      <charset val="1"/>
    </font>
    <font>
      <b val="true"/>
      <sz val="11"/>
      <color rgb="FFD4A94A"/>
      <name val="Calibri"/>
      <family val="2"/>
      <charset val="1"/>
    </font>
    <font>
      <b val="true"/>
      <sz val="11"/>
      <color rgb="FF050A14"/>
      <name val="Calibri"/>
      <family val="2"/>
      <charset val="1"/>
    </font>
    <font>
      <i val="true"/>
      <sz val="10"/>
      <color rgb="FF666666"/>
      <name val="Calibri"/>
      <family val="2"/>
      <charset val="1"/>
    </font>
    <font>
      <b val="true"/>
      <sz val="14"/>
      <name val="Calibri"/>
      <family val="2"/>
      <charset val="1"/>
    </font>
    <font>
      <b val="true"/>
      <sz val="11"/>
      <name val="Calibri"/>
      <family val="2"/>
      <charset val="1"/>
    </font>
    <font>
      <sz val="11"/>
      <color rgb="FF000000"/>
      <name val="Calibri"/>
      <family val="2"/>
      <charset val="1"/>
    </font>
    <font>
      <sz val="11"/>
      <color rgb="FFC00000"/>
      <name val="Calibri"/>
      <family val="2"/>
      <charset val="1"/>
    </font>
    <font>
      <b val="true"/>
      <sz val="11"/>
      <color rgb="FF000000"/>
      <name val="Cambria"/>
      <family val="1"/>
      <charset val="1"/>
    </font>
    <font>
      <b val="true"/>
      <sz val="11"/>
      <color rgb="FF0070C0"/>
      <name val="Cambria"/>
      <family val="1"/>
      <charset val="1"/>
    </font>
    <font>
      <i val="true"/>
      <sz val="11"/>
      <color rgb="FF666666"/>
      <name val="Cambria"/>
      <family val="1"/>
      <charset val="1"/>
    </font>
    <font>
      <sz val="11"/>
      <color rgb="FF0070C0"/>
      <name val="Calibri"/>
      <family val="2"/>
      <charset val="1"/>
    </font>
    <font>
      <b val="true"/>
      <sz val="16"/>
      <color rgb="FFFFFFFF"/>
      <name val="Cambria"/>
      <family val="1"/>
      <charset val="1"/>
    </font>
    <font>
      <b val="true"/>
      <sz val="12"/>
      <color rgb="FFFFFFFF"/>
      <name val="Cambria"/>
      <family val="1"/>
      <charset val="1"/>
    </font>
    <font>
      <b val="true"/>
      <sz val="11"/>
      <name val="Cambria"/>
      <family val="1"/>
      <charset val="1"/>
    </font>
    <font>
      <b val="true"/>
      <sz val="11"/>
      <color rgb="FFC00000"/>
      <name val="Cambria"/>
      <family val="1"/>
      <charset val="1"/>
    </font>
    <font>
      <i val="true"/>
      <sz val="10"/>
      <name val="Courier New"/>
      <family val="1"/>
      <charset val="1"/>
    </font>
    <font>
      <b val="true"/>
      <sz val="16"/>
      <color rgb="FFFFFFFF"/>
      <name val="Calibri"/>
      <family val="2"/>
      <charset val="1"/>
    </font>
    <font>
      <i val="true"/>
      <sz val="11"/>
      <color rgb="FF666666"/>
      <name val="Calibri"/>
      <family val="2"/>
      <charset val="1"/>
    </font>
    <font>
      <b val="true"/>
      <sz val="12"/>
      <color rgb="FFFFFFFF"/>
      <name val="Calibri"/>
      <family val="2"/>
      <charset val="1"/>
    </font>
    <font>
      <b val="true"/>
      <sz val="11"/>
      <color rgb="FF0070C0"/>
      <name val="Calibri"/>
      <family val="2"/>
      <charset val="1"/>
    </font>
    <font>
      <b val="true"/>
      <sz val="12"/>
      <name val="Calibri"/>
      <family val="2"/>
      <charset val="1"/>
    </font>
    <font>
      <b val="true"/>
      <sz val="12"/>
      <name val="Cambria"/>
      <family val="1"/>
      <charset val="1"/>
    </font>
    <font>
      <b val="true"/>
      <sz val="12"/>
      <color rgb="FF00B050"/>
      <name val="Cambria"/>
      <family val="1"/>
      <charset val="1"/>
    </font>
    <font>
      <b val="true"/>
      <sz val="11"/>
      <color rgb="FF00B050"/>
      <name val="Cambria"/>
      <family val="1"/>
      <charset val="1"/>
    </font>
    <font>
      <b val="true"/>
      <sz val="11"/>
      <color rgb="FFFFFFFF"/>
      <name val="Cambria"/>
      <family val="1"/>
      <charset val="1"/>
    </font>
    <font>
      <i val="true"/>
      <sz val="9"/>
      <color rgb="FF666666"/>
      <name val="Cambria"/>
      <family val="1"/>
      <charset val="1"/>
    </font>
    <font>
      <b val="true"/>
      <sz val="9"/>
      <color rgb="FF666666"/>
      <name val="Cambria"/>
      <family val="1"/>
      <charset val="1"/>
    </font>
    <font>
      <b val="true"/>
      <sz val="14"/>
      <color rgb="FF0070C0"/>
      <name val="Cambria"/>
      <family val="1"/>
      <charset val="1"/>
    </font>
    <font>
      <sz val="10"/>
      <color rgb="FFE8B95E"/>
      <name val="Arial"/>
      <family val="2"/>
      <charset val="1"/>
    </font>
    <font>
      <i val="true"/>
      <sz val="10"/>
      <color rgb="FFD4A94A"/>
      <name val="Arial"/>
      <family val="2"/>
      <charset val="1"/>
    </font>
    <font>
      <b val="true"/>
      <i val="true"/>
      <sz val="14"/>
      <color rgb="FFE8B95E"/>
      <name val="Arial"/>
      <family val="2"/>
      <charset val="1"/>
    </font>
    <font>
      <b val="true"/>
      <sz val="10"/>
      <color rgb="FFC9873A"/>
      <name val="Arial"/>
      <family val="2"/>
      <charset val="1"/>
    </font>
    <font>
      <sz val="11"/>
      <name val="Cambria"/>
      <family val="1"/>
      <charset val="1"/>
    </font>
    <font>
      <b val="true"/>
      <sz val="11"/>
      <color rgb="FFD4A94A"/>
      <name val="Arial"/>
      <family val="2"/>
      <charset val="1"/>
    </font>
    <font>
      <b val="true"/>
      <sz val="12"/>
      <color rgb="FFFFFFFF"/>
      <name val="Arial"/>
      <family val="2"/>
      <charset val="1"/>
    </font>
    <font>
      <i val="true"/>
      <sz val="10"/>
      <color rgb="FFFFFFFF"/>
      <name val="Arial"/>
      <family val="2"/>
      <charset val="1"/>
    </font>
    <font>
      <b val="true"/>
      <sz val="10"/>
      <color rgb="FF48A048"/>
      <name val="Arial"/>
      <family val="2"/>
      <charset val="1"/>
    </font>
    <font>
      <i val="true"/>
      <sz val="9"/>
      <color rgb="FFFFFFFF"/>
      <name val="Arial"/>
      <family val="2"/>
      <charset val="1"/>
    </font>
    <font>
      <b val="true"/>
      <sz val="14"/>
      <color rgb="FF0D1530"/>
      <name val="Arial"/>
      <family val="2"/>
      <charset val="1"/>
    </font>
    <font>
      <b val="true"/>
      <sz val="16"/>
      <color rgb="FF0D1530"/>
      <name val="Arial"/>
      <family val="2"/>
      <charset val="1"/>
    </font>
    <font>
      <b val="true"/>
      <sz val="10"/>
      <color rgb="FFA04848"/>
      <name val="Arial"/>
      <family val="2"/>
      <charset val="1"/>
    </font>
    <font>
      <b val="true"/>
      <i val="true"/>
      <sz val="10"/>
      <color rgb="FF0D1530"/>
      <name val="Arial"/>
      <family val="2"/>
      <charset val="1"/>
    </font>
    <font>
      <sz val="10"/>
      <color rgb="FFA04848"/>
      <name val="Arial"/>
      <family val="2"/>
      <charset val="1"/>
    </font>
    <font>
      <b val="true"/>
      <sz val="11"/>
      <color rgb="FFC9873A"/>
      <name val="Arial"/>
      <family val="2"/>
      <charset val="1"/>
    </font>
    <font>
      <i val="true"/>
      <sz val="8"/>
      <color rgb="FF5C6A8A"/>
      <name val="Arial"/>
      <family val="2"/>
      <charset val="1"/>
    </font>
    <font>
      <i val="true"/>
      <sz val="11"/>
      <color rgb="FF2E7D32"/>
      <name val="Calibri"/>
      <family val="2"/>
      <charset val="1"/>
    </font>
    <font>
      <i val="true"/>
      <sz val="9"/>
      <color rgb="FF48A048"/>
      <name val="Arial"/>
      <family val="2"/>
      <charset val="1"/>
    </font>
    <font>
      <sz val="10"/>
      <color rgb="FF5C6A8A"/>
      <name val="Arial"/>
      <family val="2"/>
      <charset val="1"/>
    </font>
    <font>
      <sz val="10"/>
      <color rgb="FF48A048"/>
      <name val="Arial"/>
      <family val="2"/>
      <charset val="1"/>
    </font>
    <font>
      <b val="true"/>
      <sz val="12"/>
      <color rgb="FF48A048"/>
      <name val="Arial"/>
      <family val="2"/>
      <charset val="1"/>
    </font>
    <font>
      <b val="true"/>
      <sz val="14"/>
      <color rgb="FFFFFFFF"/>
      <name val="Calibri"/>
      <family val="2"/>
      <charset val="1"/>
    </font>
    <font>
      <b val="true"/>
      <sz val="11"/>
      <color rgb="FF2E7D32"/>
      <name val="Calibri"/>
      <family val="2"/>
      <charset val="1"/>
    </font>
    <font>
      <i val="true"/>
      <sz val="10"/>
      <color rgb="FF48A048"/>
      <name val="Arial"/>
      <family val="2"/>
      <charset val="1"/>
    </font>
    <font>
      <i val="true"/>
      <sz val="9"/>
      <color rgb="FFA04848"/>
      <name val="Arial"/>
      <family val="2"/>
      <charset val="1"/>
    </font>
    <font>
      <b val="true"/>
      <sz val="11"/>
      <color rgb="FFA04848"/>
      <name val="Arial"/>
      <family val="2"/>
      <charset val="1"/>
    </font>
    <font>
      <sz val="9"/>
      <color rgb="FF5C6A8A"/>
      <name val="Consolas"/>
      <family val="2"/>
      <charset val="1"/>
    </font>
    <font>
      <sz val="11"/>
      <color rgb="FFE8B95E"/>
      <name val="Arial"/>
      <family val="2"/>
      <charset val="1"/>
    </font>
    <font>
      <b val="true"/>
      <sz val="16"/>
      <color rgb="FFFFFFFF"/>
      <name val="Arial"/>
      <family val="2"/>
      <charset val="1"/>
    </font>
    <font>
      <b val="true"/>
      <sz val="9"/>
      <color rgb="FFE8B95E"/>
      <name val="Arial"/>
      <family val="2"/>
      <charset val="1"/>
    </font>
    <font>
      <sz val="10"/>
      <color rgb="FFC9873A"/>
      <name val="Arial"/>
      <family val="2"/>
      <charset val="1"/>
    </font>
    <font>
      <sz val="9"/>
      <color rgb="FF48A048"/>
      <name val="Arial"/>
      <family val="2"/>
      <charset val="1"/>
    </font>
    <font>
      <b val="true"/>
      <sz val="9"/>
      <color rgb="FF5C6A8A"/>
      <name val="Arial"/>
      <family val="2"/>
      <charset val="1"/>
    </font>
    <font>
      <b val="true"/>
      <sz val="9"/>
      <color rgb="FF2E78D4"/>
      <name val="Arial"/>
      <family val="2"/>
      <charset val="1"/>
    </font>
    <font>
      <b val="true"/>
      <sz val="9"/>
      <color rgb="FF48A048"/>
      <name val="Arial"/>
      <family val="2"/>
      <charset val="1"/>
    </font>
    <font>
      <b val="true"/>
      <sz val="9"/>
      <color rgb="FF8E4FB4"/>
      <name val="Arial"/>
      <family val="2"/>
      <charset val="1"/>
    </font>
    <font>
      <i val="true"/>
      <sz val="8"/>
      <color rgb="FFC9873A"/>
      <name val="Arial"/>
      <family val="2"/>
      <charset val="1"/>
    </font>
    <font>
      <b val="true"/>
      <sz val="10"/>
      <color rgb="FF0A0F1F"/>
      <name val="Arial"/>
      <family val="2"/>
      <charset val="1"/>
    </font>
    <font>
      <b val="true"/>
      <i val="true"/>
      <sz val="11"/>
      <color rgb="FFE8B95E"/>
      <name val="Arial"/>
      <family val="2"/>
      <charset val="1"/>
    </font>
    <font>
      <i val="true"/>
      <sz val="8"/>
      <color rgb="FFD4A94A"/>
      <name val="Arial"/>
      <family val="2"/>
      <charset val="1"/>
    </font>
    <font>
      <b val="true"/>
      <sz val="9"/>
      <color rgb="FFA04848"/>
      <name val="Arial"/>
      <family val="2"/>
      <charset val="1"/>
    </font>
    <font>
      <b val="true"/>
      <sz val="14"/>
      <color rgb="FFE8B95E"/>
      <name val="Arial"/>
      <family val="2"/>
      <charset val="1"/>
    </font>
    <font>
      <sz val="10"/>
      <color rgb="FFC9873A"/>
      <name val="Consolas"/>
      <family val="2"/>
      <charset val="1"/>
    </font>
    <font>
      <i val="true"/>
      <sz val="9"/>
      <color rgb="FFD4A94A"/>
      <name val="Arial"/>
      <family val="2"/>
      <charset val="1"/>
    </font>
    <font>
      <sz val="10"/>
      <color rgb="FF1C7A6F"/>
      <name val="Arial"/>
      <family val="2"/>
      <charset val="1"/>
    </font>
    <font>
      <sz val="10"/>
      <name val="Arial"/>
      <family val="2"/>
      <charset val="1"/>
    </font>
    <font>
      <b val="true"/>
      <sz val="11"/>
      <color rgb="FF1C7A6F"/>
      <name val="Arial"/>
      <family val="2"/>
      <charset val="1"/>
    </font>
    <font>
      <b val="true"/>
      <sz val="10"/>
      <color rgb="FF1C7A6F"/>
      <name val="Arial"/>
      <family val="2"/>
      <charset val="1"/>
    </font>
    <font>
      <b val="true"/>
      <sz val="11"/>
      <color rgb="FF48A048"/>
      <name val="Arial"/>
      <family val="2"/>
      <charset val="1"/>
    </font>
    <font>
      <b val="true"/>
      <sz val="11"/>
      <color rgb="FF666666"/>
      <name val="Cambria"/>
      <family val="1"/>
      <charset val="1"/>
    </font>
    <font>
      <b val="true"/>
      <i val="true"/>
      <sz val="11"/>
      <name val="Calibri"/>
      <family val="2"/>
      <charset val="1"/>
    </font>
    <font>
      <b val="true"/>
      <sz val="10"/>
      <color rgb="FF0000FF"/>
      <name val="Arial"/>
      <family val="2"/>
      <charset val="1"/>
    </font>
    <font>
      <b val="true"/>
      <sz val="12"/>
      <color rgb="FFD4A94A"/>
      <name val="Arial"/>
      <family val="2"/>
      <charset val="1"/>
    </font>
    <font>
      <i val="true"/>
      <sz val="10"/>
      <name val="Calibri"/>
      <family val="2"/>
      <charset val="1"/>
    </font>
    <font>
      <b val="true"/>
      <sz val="12"/>
      <color rgb="FFC9873A"/>
      <name val="Arial"/>
      <family val="2"/>
      <charset val="1"/>
    </font>
    <font>
      <b val="true"/>
      <sz val="10"/>
      <name val="Arial"/>
      <family val="2"/>
      <charset val="1"/>
    </font>
    <font>
      <b val="true"/>
      <sz val="10"/>
      <color rgb="FF008000"/>
      <name val="Arial"/>
      <family val="2"/>
      <charset val="1"/>
    </font>
    <font>
      <i val="true"/>
      <sz val="11"/>
      <name val="Calibri"/>
      <family val="2"/>
      <charset val="1"/>
    </font>
    <font>
      <b val="true"/>
      <sz val="9"/>
      <color rgb="FF0D1530"/>
      <name val="Arial"/>
      <family val="2"/>
      <charset val="1"/>
    </font>
    <font>
      <sz val="9"/>
      <name val="Arial"/>
      <family val="2"/>
      <charset val="1"/>
    </font>
    <font>
      <b val="true"/>
      <sz val="10"/>
      <color rgb="FF5C6A8A"/>
      <name val="Arial"/>
      <family val="2"/>
      <charset val="1"/>
    </font>
    <font>
      <b val="true"/>
      <i val="true"/>
      <sz val="10"/>
      <color rgb="FFFFFFFF"/>
      <name val="Arial"/>
      <family val="2"/>
      <charset val="1"/>
    </font>
    <font>
      <b val="true"/>
      <sz val="9"/>
      <color rgb="FFE8B95E"/>
      <name val="Consolas"/>
      <family val="2"/>
      <charset val="1"/>
    </font>
    <font>
      <sz val="10"/>
      <color rgb="FFC00000"/>
      <name val="Arial"/>
      <family val="2"/>
      <charset val="1"/>
    </font>
    <font>
      <b val="true"/>
      <sz val="11"/>
      <color rgb="FFD4A94A"/>
      <name val="Cambria"/>
      <family val="1"/>
      <charset val="1"/>
    </font>
    <font>
      <b val="true"/>
      <sz val="13"/>
      <color rgb="FFFFFFFF"/>
      <name val="Arial"/>
      <family val="2"/>
      <charset val="1"/>
    </font>
    <font>
      <b val="true"/>
      <sz val="12"/>
      <color rgb="FFC1272D"/>
      <name val="Arial"/>
      <family val="2"/>
      <charset val="1"/>
    </font>
    <font>
      <b val="true"/>
      <sz val="24"/>
      <color rgb="FF0000FF"/>
      <name val="Arial"/>
      <family val="2"/>
      <charset val="1"/>
    </font>
    <font>
      <b val="true"/>
      <i val="true"/>
      <sz val="9"/>
      <color rgb="FF2D3A5F"/>
      <name val="Arial"/>
      <family val="2"/>
      <charset val="1"/>
    </font>
    <font>
      <sz val="9"/>
      <color rgb="FF2D3A5F"/>
      <name val="Arial"/>
      <family val="2"/>
      <charset val="1"/>
    </font>
    <font>
      <i val="true"/>
      <sz val="9"/>
      <color rgb="FF2D3A5F"/>
      <name val="Arial"/>
      <family val="2"/>
      <charset val="1"/>
    </font>
    <font>
      <b val="true"/>
      <sz val="14"/>
      <color rgb="FF0000FF"/>
      <name val="Arial"/>
      <family val="2"/>
      <charset val="1"/>
    </font>
    <font>
      <b val="true"/>
      <sz val="11"/>
      <color rgb="FFF5EBD0"/>
      <name val="Arial"/>
      <family val="2"/>
      <charset val="1"/>
    </font>
    <font>
      <sz val="10"/>
      <color rgb="FF2D3A5F"/>
      <name val="Arial"/>
      <family val="2"/>
      <charset val="1"/>
    </font>
    <font>
      <b val="true"/>
      <sz val="10"/>
      <color rgb="FF000000"/>
      <name val="Arial"/>
      <family val="2"/>
      <charset val="1"/>
    </font>
    <font>
      <b val="true"/>
      <sz val="14"/>
      <color rgb="FFF5EBD0"/>
      <name val="Arial"/>
      <family val="2"/>
      <charset val="1"/>
    </font>
    <font>
      <b val="true"/>
      <sz val="14"/>
      <color rgb="FF008000"/>
      <name val="Arial"/>
      <family val="2"/>
      <charset val="1"/>
    </font>
    <font>
      <sz val="10"/>
      <color rgb="FF0000FF"/>
      <name val="Arial"/>
      <family val="2"/>
      <charset val="1"/>
    </font>
    <font>
      <b val="true"/>
      <sz val="14"/>
      <color rgb="FF1C7A6F"/>
      <name val="Arial"/>
      <family val="2"/>
      <charset val="1"/>
    </font>
    <font>
      <b val="true"/>
      <i val="true"/>
      <sz val="9"/>
      <color rgb="FFFF6600"/>
      <name val="Arial"/>
      <family val="2"/>
      <charset val="1"/>
    </font>
    <font>
      <i val="true"/>
      <sz val="9"/>
      <color rgb="FFC9873A"/>
      <name val="Arial"/>
      <family val="2"/>
      <charset val="1"/>
    </font>
    <font>
      <b val="true"/>
      <i val="true"/>
      <sz val="9"/>
      <color rgb="FF000000"/>
      <name val="Arial"/>
      <family val="2"/>
      <charset val="1"/>
    </font>
    <font>
      <i val="true"/>
      <strike val="true"/>
      <sz val="9"/>
      <color rgb="FF5C6A8A"/>
      <name val="Arial"/>
      <family val="2"/>
      <charset val="1"/>
    </font>
    <font>
      <i val="true"/>
      <sz val="9"/>
      <color rgb="FF008000"/>
      <name val="Arial"/>
      <family val="2"/>
      <charset val="1"/>
    </font>
    <font>
      <b val="true"/>
      <i val="true"/>
      <sz val="10"/>
      <color rgb="FFC1272D"/>
      <name val="Arial"/>
      <family val="2"/>
      <charset val="1"/>
    </font>
    <font>
      <b val="true"/>
      <i val="true"/>
      <sz val="9"/>
      <color rgb="FF0D1530"/>
      <name val="Arial"/>
      <family val="2"/>
      <charset val="1"/>
    </font>
    <font>
      <b val="true"/>
      <i val="true"/>
      <sz val="9"/>
      <color rgb="FF1C7A6F"/>
      <name val="Arial"/>
      <family val="2"/>
      <charset val="1"/>
    </font>
    <font>
      <i val="true"/>
      <sz val="10"/>
      <color rgb="FF1C7A6F"/>
      <name val="Arial"/>
      <family val="2"/>
      <charset val="1"/>
    </font>
    <font>
      <i val="true"/>
      <sz val="10"/>
      <color rgb="FFC9873A"/>
      <name val="Arial"/>
      <family val="2"/>
      <charset val="1"/>
    </font>
    <font>
      <b val="true"/>
      <i val="true"/>
      <sz val="9"/>
      <color rgb="FF5C6A8A"/>
      <name val="Arial"/>
      <family val="2"/>
      <charset val="1"/>
    </font>
    <font>
      <b val="true"/>
      <strike val="true"/>
      <sz val="11"/>
      <color rgb="FF5C6A8A"/>
      <name val="Arial"/>
      <family val="2"/>
      <charset val="1"/>
    </font>
    <font>
      <b val="true"/>
      <i val="true"/>
      <sz val="10"/>
      <color rgb="FF5C6A8A"/>
      <name val="Arial"/>
      <family val="2"/>
      <charset val="1"/>
    </font>
    <font>
      <b val="true"/>
      <i val="true"/>
      <sz val="10"/>
      <color rgb="FF1C7A6F"/>
      <name val="Arial"/>
      <family val="2"/>
      <charset val="1"/>
    </font>
    <font>
      <b val="true"/>
      <i val="true"/>
      <sz val="10"/>
      <color rgb="FF0000FF"/>
      <name val="Arial"/>
      <family val="2"/>
      <charset val="1"/>
    </font>
    <font>
      <b val="true"/>
      <sz val="9"/>
      <color rgb="FF000000"/>
      <name val="Arial"/>
      <family val="2"/>
      <charset val="1"/>
    </font>
    <font>
      <b val="true"/>
      <i val="true"/>
      <sz val="9"/>
      <color rgb="FF0000FF"/>
      <name val="Arial"/>
      <family val="2"/>
      <charset val="1"/>
    </font>
    <font>
      <b val="true"/>
      <sz val="12"/>
      <color rgb="FFF5EBD0"/>
      <name val="Arial"/>
      <family val="2"/>
      <charset val="1"/>
    </font>
    <font>
      <b val="true"/>
      <sz val="18"/>
      <color rgb="FF0D1530"/>
      <name val="Arial"/>
      <family val="2"/>
      <charset val="1"/>
    </font>
    <font>
      <b val="true"/>
      <sz val="10"/>
      <color rgb="FFC1272D"/>
      <name val="Arial"/>
      <family val="2"/>
      <charset val="1"/>
    </font>
    <font>
      <i val="true"/>
      <sz val="10"/>
      <color rgb="FF000000"/>
      <name val="Arial"/>
      <family val="2"/>
      <charset val="1"/>
    </font>
    <font>
      <b val="true"/>
      <i val="true"/>
      <sz val="10"/>
      <color rgb="FF008000"/>
      <name val="Arial"/>
      <family val="2"/>
      <charset val="1"/>
    </font>
    <font>
      <sz val="9"/>
      <color rgb="FF000000"/>
      <name val="Arial"/>
      <family val="2"/>
      <charset val="1"/>
    </font>
    <font>
      <sz val="10"/>
      <color rgb="FF008000"/>
      <name val="Arial"/>
      <family val="2"/>
      <charset val="1"/>
    </font>
    <font>
      <i val="true"/>
      <sz val="10"/>
      <color rgb="FFC1272D"/>
      <name val="Arial"/>
      <family val="2"/>
      <charset val="1"/>
    </font>
    <font>
      <i val="true"/>
      <sz val="9"/>
      <color rgb="FFC1272D"/>
      <name val="Arial"/>
      <family val="2"/>
      <charset val="1"/>
    </font>
    <font>
      <b val="true"/>
      <i val="true"/>
      <sz val="9"/>
      <color rgb="FFC9873A"/>
      <name val="Arial"/>
      <family val="2"/>
      <charset val="1"/>
    </font>
    <font>
      <b val="true"/>
      <i val="true"/>
      <sz val="9"/>
      <color rgb="FFC1272D"/>
      <name val="Arial"/>
      <family val="2"/>
      <charset val="1"/>
    </font>
    <font>
      <i val="true"/>
      <sz val="10"/>
      <name val="Arial"/>
      <family val="2"/>
      <charset val="1"/>
    </font>
    <font>
      <sz val="10"/>
      <color rgb="FFC1272D"/>
      <name val="Arial"/>
      <family val="2"/>
      <charset val="1"/>
    </font>
    <font>
      <sz val="8"/>
      <color rgb="FF2D3A5F"/>
      <name val="Courier New"/>
      <family val="1"/>
      <charset val="1"/>
    </font>
    <font>
      <b val="true"/>
      <sz val="11"/>
      <color rgb="FF008000"/>
      <name val="Arial"/>
      <family val="2"/>
      <charset val="1"/>
    </font>
    <font>
      <i val="true"/>
      <sz val="10"/>
      <color rgb="FFA04848"/>
      <name val="Arial"/>
      <family val="2"/>
      <charset val="1"/>
    </font>
    <font>
      <sz val="9"/>
      <color rgb="FFA04848"/>
      <name val="Arial"/>
      <family val="2"/>
      <charset val="1"/>
    </font>
    <font>
      <b val="true"/>
      <i val="true"/>
      <sz val="11"/>
      <color rgb="FF1C7A6F"/>
      <name val="Arial"/>
      <family val="2"/>
      <charset val="1"/>
    </font>
    <font>
      <b val="true"/>
      <sz val="12"/>
      <color rgb="FF1C7A6F"/>
      <name val="Arial"/>
      <family val="2"/>
      <charset val="1"/>
    </font>
    <font>
      <b val="true"/>
      <i val="true"/>
      <sz val="9"/>
      <color rgb="FFA04848"/>
      <name val="Arial"/>
      <family val="2"/>
      <charset val="1"/>
    </font>
    <font>
      <i val="true"/>
      <sz val="10"/>
      <color rgb="FF008000"/>
      <name val="Arial"/>
      <family val="2"/>
      <charset val="1"/>
    </font>
    <font>
      <i val="true"/>
      <sz val="9"/>
      <color rgb="FF1C7A6F"/>
      <name val="Arial"/>
      <family val="2"/>
      <charset val="1"/>
    </font>
  </fonts>
  <fills count="52">
    <fill>
      <patternFill patternType="none"/>
    </fill>
    <fill>
      <patternFill patternType="gray125"/>
    </fill>
    <fill>
      <patternFill patternType="solid">
        <fgColor rgb="FFC98739"/>
        <bgColor rgb="FFC98738"/>
      </patternFill>
    </fill>
    <fill>
      <patternFill patternType="solid">
        <fgColor rgb="FF0A0F1C"/>
        <bgColor rgb="FF050A14"/>
      </patternFill>
    </fill>
    <fill>
      <patternFill patternType="solid">
        <fgColor rgb="FF0D1530"/>
        <bgColor rgb="FF0A0F1C"/>
      </patternFill>
    </fill>
    <fill>
      <patternFill patternType="solid">
        <fgColor rgb="FFF5F2EA"/>
        <bgColor rgb="FFF5F5F5"/>
      </patternFill>
    </fill>
    <fill>
      <patternFill patternType="solid">
        <fgColor rgb="FF8E4FB4"/>
        <bgColor rgb="FF5C6A8A"/>
      </patternFill>
    </fill>
    <fill>
      <patternFill patternType="solid">
        <fgColor rgb="FF2E78D4"/>
        <bgColor rgb="FF3675B6"/>
      </patternFill>
    </fill>
    <fill>
      <patternFill patternType="darkGray">
        <fgColor rgb="FF1C7A6F"/>
        <bgColor rgb="FF1C7A6A"/>
      </patternFill>
    </fill>
    <fill>
      <patternFill patternType="solid">
        <fgColor rgb="FF48A048"/>
        <bgColor rgb="FF3D9E3D"/>
      </patternFill>
    </fill>
    <fill>
      <patternFill patternType="solid">
        <fgColor rgb="FF28365D"/>
        <bgColor rgb="FF253C63"/>
      </patternFill>
    </fill>
    <fill>
      <patternFill patternType="solid">
        <fgColor theme="2"/>
        <bgColor rgb="FFF5F5F5"/>
      </patternFill>
    </fill>
    <fill>
      <patternFill patternType="solid">
        <fgColor rgb="FFE8F4D4"/>
        <bgColor rgb="FFF5F2EA"/>
      </patternFill>
    </fill>
    <fill>
      <patternFill patternType="darkGray">
        <fgColor rgb="FF3D9E3D"/>
        <bgColor rgb="FF48A048"/>
      </patternFill>
    </fill>
    <fill>
      <patternFill patternType="solid">
        <fgColor rgb="FFCE2D2D"/>
        <bgColor rgb="FFC1272D"/>
      </patternFill>
    </fill>
    <fill>
      <patternFill patternType="solid">
        <fgColor rgb="FFF37624"/>
        <bgColor rgb="FFC98738"/>
      </patternFill>
    </fill>
    <fill>
      <patternFill patternType="solid">
        <fgColor rgb="FF8B5E3C"/>
        <bgColor rgb="FFA04848"/>
      </patternFill>
    </fill>
    <fill>
      <patternFill patternType="solid">
        <fgColor rgb="FFD4A94A"/>
        <bgColor rgb="FFEABC5F"/>
      </patternFill>
    </fill>
    <fill>
      <patternFill patternType="darkGray">
        <fgColor rgb="FF6E6E70"/>
        <bgColor rgb="FF666666"/>
      </patternFill>
    </fill>
    <fill>
      <patternFill patternType="solid">
        <fgColor rgb="FFFFF3CE"/>
        <bgColor rgb="FFFEF3C7"/>
      </patternFill>
    </fill>
    <fill>
      <patternFill patternType="solid">
        <fgColor rgb="FFA04848"/>
        <bgColor rgb="FF8B5E3C"/>
      </patternFill>
    </fill>
    <fill>
      <patternFill patternType="solid">
        <fgColor rgb="FFFCE4E4"/>
        <bgColor rgb="FFF8D7DA"/>
      </patternFill>
    </fill>
    <fill>
      <patternFill patternType="solid">
        <fgColor rgb="FF050A14"/>
        <bgColor rgb="FF0A0F1C"/>
      </patternFill>
    </fill>
    <fill>
      <patternFill patternType="solid">
        <fgColor rgb="FF1F4E78"/>
        <bgColor rgb="FF253C63"/>
      </patternFill>
    </fill>
    <fill>
      <patternFill patternType="solid">
        <fgColor rgb="FFD4EDDA"/>
        <bgColor rgb="FFD4F4D4"/>
      </patternFill>
    </fill>
    <fill>
      <patternFill patternType="solid">
        <fgColor rgb="FF3675B6"/>
        <bgColor rgb="FF2E78D4"/>
      </patternFill>
    </fill>
    <fill>
      <patternFill patternType="solid">
        <fgColor rgb="FFBC6B0C"/>
        <bgColor rgb="FFC98738"/>
      </patternFill>
    </fill>
    <fill>
      <patternFill patternType="solid">
        <fgColor rgb="FFC98738"/>
        <bgColor rgb="FFC98739"/>
      </patternFill>
    </fill>
    <fill>
      <patternFill patternType="darkGray">
        <fgColor rgb="FF0A0F1C"/>
        <bgColor rgb="FF050A14"/>
      </patternFill>
    </fill>
    <fill>
      <patternFill patternType="solid">
        <fgColor rgb="FF4F4F4F"/>
        <bgColor rgb="FF666666"/>
      </patternFill>
    </fill>
    <fill>
      <patternFill patternType="solid">
        <fgColor rgb="FFF5F5F5"/>
        <bgColor rgb="FFFAF8F5"/>
      </patternFill>
    </fill>
    <fill>
      <patternFill patternType="solid">
        <fgColor rgb="FFFFFACD"/>
        <bgColor rgb="FFFFF3CE"/>
      </patternFill>
    </fill>
    <fill>
      <patternFill patternType="solid">
        <fgColor rgb="FFD4F4D4"/>
        <bgColor rgb="FFD4EDDA"/>
      </patternFill>
    </fill>
    <fill>
      <patternFill patternType="solid">
        <fgColor rgb="FFFDE4B0"/>
        <bgColor rgb="FFFFE699"/>
      </patternFill>
    </fill>
    <fill>
      <patternFill patternType="darkGray">
        <fgColor rgb="FFEABC5F"/>
        <bgColor rgb="FFD4A94A"/>
      </patternFill>
    </fill>
    <fill>
      <patternFill patternType="solid">
        <fgColor rgb="FFFAF8F5"/>
        <bgColor rgb="FFF5F5F5"/>
      </patternFill>
    </fill>
    <fill>
      <patternFill patternType="solid">
        <fgColor rgb="FFD9E1F2"/>
        <bgColor rgb="FFD9E5F6"/>
      </patternFill>
    </fill>
    <fill>
      <patternFill patternType="solid">
        <fgColor rgb="FFFFE699"/>
        <bgColor rgb="FFFDE4B0"/>
      </patternFill>
    </fill>
    <fill>
      <patternFill patternType="solid">
        <fgColor rgb="FFC00000"/>
        <bgColor rgb="FFC1272D"/>
      </patternFill>
    </fill>
    <fill>
      <patternFill patternType="solid">
        <fgColor rgb="FFF8D7DA"/>
        <bgColor rgb="FFFCE4E4"/>
      </patternFill>
    </fill>
    <fill>
      <patternFill patternType="solid">
        <fgColor rgb="FFD6F6E5"/>
        <bgColor rgb="FFD4F4D4"/>
      </patternFill>
    </fill>
    <fill>
      <patternFill patternType="solid">
        <fgColor rgb="FFFEF3C7"/>
        <bgColor rgb="FFFFF3CE"/>
      </patternFill>
    </fill>
    <fill>
      <patternFill patternType="darkGray">
        <fgColor rgb="FFD9E5F6"/>
        <bgColor rgb="FFD9E1F2"/>
      </patternFill>
    </fill>
    <fill>
      <patternFill patternType="darkGray">
        <fgColor rgb="FFEABC5F"/>
        <bgColor rgb="FFFFE699"/>
      </patternFill>
    </fill>
    <fill>
      <patternFill patternType="solid">
        <fgColor rgb="FF253C63"/>
        <bgColor rgb="FF28365D"/>
      </patternFill>
    </fill>
    <fill>
      <patternFill patternType="solid">
        <fgColor rgb="FFFFFBEF"/>
        <bgColor rgb="FFFAF8F5"/>
      </patternFill>
    </fill>
    <fill>
      <patternFill patternType="solid">
        <fgColor rgb="FFFFFFFF"/>
        <bgColor rgb="FFFFFBEF"/>
      </patternFill>
    </fill>
    <fill>
      <patternFill patternType="darkGray">
        <fgColor rgb="FFE6E8FA"/>
        <bgColor rgb="FFD9E5F6"/>
      </patternFill>
    </fill>
    <fill>
      <patternFill patternType="solid">
        <fgColor rgb="FF5C6A8A"/>
        <bgColor rgb="FF6E6E70"/>
      </patternFill>
    </fill>
    <fill>
      <patternFill patternType="solid">
        <fgColor rgb="FF008000"/>
        <bgColor rgb="FF1C7A6A"/>
      </patternFill>
    </fill>
    <fill>
      <patternFill patternType="solid">
        <fgColor rgb="FFE6E8FA"/>
        <bgColor rgb="FFD9E5F6"/>
      </patternFill>
    </fill>
    <fill>
      <patternFill patternType="solid">
        <fgColor rgb="FFD9E5F6"/>
        <bgColor rgb="FFD9E1F2"/>
      </patternFill>
    </fill>
  </fills>
  <borders count="22">
    <border diagonalUp="false" diagonalDown="false">
      <left/>
      <right/>
      <top/>
      <bottom/>
      <diagonal/>
    </border>
    <border diagonalUp="false" diagonalDown="false">
      <left style="medium">
        <color rgb="FF0D1530"/>
      </left>
      <right style="medium">
        <color rgb="FF0D1530"/>
      </right>
      <top style="medium">
        <color rgb="FF0D1530"/>
      </top>
      <bottom style="medium">
        <color rgb="FF0D1530"/>
      </bottom>
      <diagonal/>
    </border>
    <border diagonalUp="false" diagonalDown="false">
      <left style="thick">
        <color rgb="FF1C7A6A"/>
      </left>
      <right/>
      <top/>
      <bottom/>
      <diagonal/>
    </border>
    <border diagonalUp="false" diagonalDown="false">
      <left style="thick">
        <color rgb="FFA04848"/>
      </left>
      <right/>
      <top/>
      <bottom/>
      <diagonal/>
    </border>
    <border diagonalUp="false" diagonalDown="false">
      <left style="thin"/>
      <right style="thin"/>
      <top style="thin"/>
      <bottom style="thin"/>
      <diagonal/>
    </border>
    <border diagonalUp="false" diagonalDown="false">
      <left style="thick">
        <color rgb="FFC98738"/>
      </left>
      <right style="thick">
        <color rgb="FFC98738"/>
      </right>
      <top style="thick">
        <color rgb="FFC98738"/>
      </top>
      <bottom style="thick">
        <color rgb="FFC98738"/>
      </bottom>
      <diagonal/>
    </border>
    <border diagonalUp="false" diagonalDown="false">
      <left style="medium">
        <color rgb="FF0A0F1C"/>
      </left>
      <right style="medium">
        <color rgb="FF0A0F1C"/>
      </right>
      <top style="medium">
        <color rgb="FF0A0F1C"/>
      </top>
      <bottom style="medium">
        <color rgb="FF0A0F1C"/>
      </bottom>
      <diagonal/>
    </border>
    <border diagonalUp="false" diagonalDown="false">
      <left style="thin">
        <color rgb="FF6E6E70"/>
      </left>
      <right style="thin">
        <color rgb="FF6E6E70"/>
      </right>
      <top style="thin">
        <color rgb="FF6E6E70"/>
      </top>
      <bottom style="thin">
        <color rgb="FF6E6E70"/>
      </bottom>
      <diagonal/>
    </border>
    <border diagonalUp="false" diagonalDown="false">
      <left style="thick">
        <color rgb="FFC98738"/>
      </left>
      <right/>
      <top/>
      <bottom/>
      <diagonal/>
    </border>
    <border diagonalUp="false" diagonalDown="false">
      <left style="thick">
        <color rgb="FF48A048"/>
      </left>
      <right/>
      <top/>
      <bottom/>
      <diagonal/>
    </border>
    <border diagonalUp="false" diagonalDown="false">
      <left style="thick">
        <color rgb="FF0D1530"/>
      </left>
      <right/>
      <top/>
      <bottom/>
      <diagonal/>
    </border>
    <border diagonalUp="false" diagonalDown="false">
      <left/>
      <right/>
      <top style="thin">
        <color rgb="FF0D1530"/>
      </top>
      <bottom style="medium">
        <color rgb="FFD4A94A"/>
      </bottom>
      <diagonal/>
    </border>
    <border diagonalUp="false" diagonalDown="false">
      <left style="medium">
        <color rgb="FF0D1530"/>
      </left>
      <right/>
      <top style="medium">
        <color rgb="FF0D1530"/>
      </top>
      <bottom style="medium">
        <color rgb="FF0D1530"/>
      </bottom>
      <diagonal/>
    </border>
    <border diagonalUp="false" diagonalDown="false">
      <left/>
      <right/>
      <top style="thin">
        <color rgb="FFDDDDDD"/>
      </top>
      <bottom style="thin">
        <color rgb="FFDDDDDD"/>
      </bottom>
      <diagonal/>
    </border>
    <border diagonalUp="false" diagonalDown="false">
      <left/>
      <right/>
      <top style="medium"/>
      <bottom style="medium"/>
      <diagonal/>
    </border>
    <border diagonalUp="false" diagonalDown="false">
      <left/>
      <right/>
      <top/>
      <bottom style="medium">
        <color rgb="FFD4A94A"/>
      </bottom>
      <diagonal/>
    </border>
    <border diagonalUp="false" diagonalDown="false">
      <left/>
      <right/>
      <top style="thin">
        <color rgb="FFD5DAE0"/>
      </top>
      <bottom style="thin">
        <color rgb="FFD5DAE0"/>
      </bottom>
      <diagonal/>
    </border>
    <border diagonalUp="false" diagonalDown="false">
      <left/>
      <right/>
      <top style="thin">
        <color rgb="FF0D1530"/>
      </top>
      <bottom style="double">
        <color rgb="FF0D1530"/>
      </bottom>
      <diagonal/>
    </border>
    <border diagonalUp="false" diagonalDown="false">
      <left/>
      <right/>
      <top/>
      <bottom style="thin">
        <color rgb="FFD5DAE0"/>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right/>
      <top style="thin">
        <color rgb="FFA04848"/>
      </top>
      <bottom style="thin">
        <color rgb="FFA04848"/>
      </bottom>
      <diagonal/>
    </border>
    <border diagonalUp="false" diagonalDown="false">
      <left/>
      <right/>
      <top style="thin">
        <color rgb="FF0D1530"/>
      </top>
      <bottom style="thin">
        <color rgb="FF0D15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9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left" vertical="top" textRotation="0" wrapText="true" indent="1" shrinkToFit="false"/>
      <protection locked="true" hidden="false"/>
    </xf>
    <xf numFmtId="164" fontId="5" fillId="3" borderId="0" xfId="0" applyFont="true" applyBorder="true" applyAlignment="true" applyProtection="false">
      <alignment horizontal="left" vertical="top" textRotation="0" wrapText="true" indent="1" shrinkToFit="false"/>
      <protection locked="true" hidden="false"/>
    </xf>
    <xf numFmtId="164" fontId="6" fillId="3" borderId="0" xfId="0" applyFont="true" applyBorder="true" applyAlignment="true" applyProtection="false">
      <alignment horizontal="left" vertical="top" textRotation="0" wrapText="true" indent="1"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7" fillId="3" borderId="0" xfId="0" applyFont="true" applyBorder="true" applyAlignment="true" applyProtection="false">
      <alignment horizontal="left" vertical="top" textRotation="0" wrapText="true" indent="1" shrinkToFit="false"/>
      <protection locked="true" hidden="false"/>
    </xf>
    <xf numFmtId="164" fontId="8" fillId="4" borderId="0" xfId="0" applyFont="true" applyBorder="true" applyAlignment="true" applyProtection="false">
      <alignment horizontal="center" vertical="top" textRotation="0" wrapText="true" indent="0" shrinkToFit="false"/>
      <protection locked="true" hidden="false"/>
    </xf>
    <xf numFmtId="164" fontId="8" fillId="4" borderId="0" xfId="0" applyFont="true" applyBorder="true" applyAlignment="true" applyProtection="false">
      <alignment horizontal="center" vertical="center" textRotation="0" wrapText="false" indent="0" shrinkToFit="false"/>
      <protection locked="true" hidden="false"/>
    </xf>
    <xf numFmtId="165" fontId="9" fillId="4" borderId="0" xfId="0" applyFont="true" applyBorder="true" applyAlignment="true" applyProtection="false">
      <alignment horizontal="center" vertical="top" textRotation="0" wrapText="true" indent="0" shrinkToFit="false"/>
      <protection locked="true" hidden="false"/>
    </xf>
    <xf numFmtId="166" fontId="9" fillId="4" borderId="0" xfId="0" applyFont="true" applyBorder="true" applyAlignment="true" applyProtection="false">
      <alignment horizontal="center" vertical="center" textRotation="0" wrapText="false" indent="0" shrinkToFit="false"/>
      <protection locked="true" hidden="false"/>
    </xf>
    <xf numFmtId="167" fontId="9" fillId="4" borderId="0" xfId="0" applyFont="true" applyBorder="true" applyAlignment="true" applyProtection="false">
      <alignment horizontal="center" vertical="center" textRotation="0" wrapText="false" indent="0" shrinkToFit="false"/>
      <protection locked="true" hidden="false"/>
    </xf>
    <xf numFmtId="164" fontId="10" fillId="3" borderId="0" xfId="0" applyFont="true" applyBorder="true" applyAlignment="true" applyProtection="false">
      <alignment horizontal="center" vertical="top" textRotation="0" wrapText="tru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9" fillId="4" borderId="0" xfId="0" applyFont="true" applyBorder="true" applyAlignment="true" applyProtection="false">
      <alignment horizontal="left" vertical="top" textRotation="0" wrapText="true" indent="1" shrinkToFit="false"/>
      <protection locked="true" hidden="false"/>
    </xf>
    <xf numFmtId="164" fontId="11" fillId="4" borderId="0" xfId="0" applyFont="true" applyBorder="true" applyAlignment="true" applyProtection="false">
      <alignment horizontal="right" vertical="center" textRotation="0" wrapText="false" indent="1" shrinkToFit="false"/>
      <protection locked="true" hidden="false"/>
    </xf>
    <xf numFmtId="164" fontId="12" fillId="5" borderId="0" xfId="0" applyFont="true" applyBorder="true" applyAlignment="true" applyProtection="false">
      <alignment horizontal="left" vertical="top" textRotation="0" wrapText="true" indent="1" shrinkToFit="false"/>
      <protection locked="true" hidden="false"/>
    </xf>
    <xf numFmtId="164" fontId="13" fillId="2" borderId="0" xfId="0" applyFont="true" applyBorder="false" applyAlignment="true" applyProtection="false">
      <alignment horizontal="left" vertical="top" textRotation="0" wrapText="true" indent="1"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13" fillId="6" borderId="0" xfId="0" applyFont="true" applyBorder="false" applyAlignment="true" applyProtection="false">
      <alignment horizontal="left" vertical="top" textRotation="0" wrapText="true" indent="1"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13" fillId="7" borderId="0" xfId="0" applyFont="true" applyBorder="false" applyAlignment="true" applyProtection="false">
      <alignment horizontal="left" vertical="top" textRotation="0" wrapText="true" indent="1"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13" fillId="8" borderId="0" xfId="0" applyFont="true" applyBorder="false" applyAlignment="true" applyProtection="false">
      <alignment horizontal="left" vertical="top" textRotation="0" wrapText="true" indent="1"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13" fillId="9" borderId="0" xfId="0" applyFont="true" applyBorder="false" applyAlignment="true" applyProtection="false">
      <alignment horizontal="left" vertical="top" textRotation="0" wrapText="true" indent="1" shrinkToFit="false"/>
      <protection locked="true" hidden="false"/>
    </xf>
    <xf numFmtId="164" fontId="14" fillId="3" borderId="0" xfId="0" applyFont="true" applyBorder="true" applyAlignment="true" applyProtection="false">
      <alignment horizontal="center" vertical="top" textRotation="0" wrapText="true" indent="0" shrinkToFit="false"/>
      <protection locked="true" hidden="false"/>
    </xf>
    <xf numFmtId="164" fontId="15" fillId="4" borderId="0" xfId="0" applyFont="true" applyBorder="true" applyAlignment="true" applyProtection="false">
      <alignment horizontal="left" vertical="top" textRotation="0" wrapText="true" indent="1" shrinkToFit="false"/>
      <protection locked="true" hidden="false"/>
    </xf>
    <xf numFmtId="164" fontId="15" fillId="10" borderId="0" xfId="0" applyFont="true" applyBorder="true" applyAlignment="true" applyProtection="false">
      <alignment horizontal="left" vertical="top" textRotation="0" wrapText="true" indent="1" shrinkToFit="false"/>
      <protection locked="true" hidden="false"/>
    </xf>
    <xf numFmtId="164" fontId="15" fillId="10" borderId="0" xfId="0" applyFont="true" applyBorder="true" applyAlignment="true" applyProtection="false">
      <alignment horizontal="left" vertical="center" textRotation="0" wrapText="false" indent="1" shrinkToFit="false"/>
      <protection locked="true" hidden="false"/>
    </xf>
    <xf numFmtId="164" fontId="16" fillId="5" borderId="0" xfId="0" applyFont="true" applyBorder="true" applyAlignment="true" applyProtection="false">
      <alignment horizontal="left" vertical="top" textRotation="0" wrapText="true" indent="1" shrinkToFit="false"/>
      <protection locked="true" hidden="false"/>
    </xf>
    <xf numFmtId="164" fontId="17" fillId="5" borderId="0" xfId="0" applyFont="true" applyBorder="false" applyAlignment="true" applyProtection="false">
      <alignment horizontal="left" vertical="top" textRotation="0" wrapText="true" indent="1" shrinkToFit="false"/>
      <protection locked="true" hidden="false"/>
    </xf>
    <xf numFmtId="164" fontId="16" fillId="5" borderId="0" xfId="0" applyFont="true" applyBorder="true" applyAlignment="true" applyProtection="false">
      <alignment horizontal="left" vertical="center" textRotation="0" wrapText="true" indent="1" shrinkToFit="false"/>
      <protection locked="true" hidden="false"/>
    </xf>
    <xf numFmtId="164" fontId="18" fillId="2" borderId="0" xfId="0" applyFont="true" applyBorder="false" applyAlignment="true" applyProtection="false">
      <alignment horizontal="left" vertical="top" textRotation="0" wrapText="true" indent="1" shrinkToFit="false"/>
      <protection locked="true" hidden="false"/>
    </xf>
    <xf numFmtId="164" fontId="19" fillId="2" borderId="0" xfId="0" applyFont="true" applyBorder="false" applyAlignment="true" applyProtection="false">
      <alignment horizontal="left" vertical="center" textRotation="0" wrapText="false" indent="1" shrinkToFit="false"/>
      <protection locked="true" hidden="false"/>
    </xf>
    <xf numFmtId="164" fontId="15" fillId="3" borderId="0" xfId="0" applyFont="true" applyBorder="true" applyAlignment="true" applyProtection="false">
      <alignment horizontal="left" vertical="top" textRotation="0" wrapText="true" indent="1" shrinkToFit="false"/>
      <protection locked="true" hidden="false"/>
    </xf>
    <xf numFmtId="164" fontId="20" fillId="5" borderId="0" xfId="0" applyFont="true" applyBorder="true" applyAlignment="true" applyProtection="false">
      <alignment horizontal="left" vertical="top" textRotation="0" wrapText="true" indent="1" shrinkToFit="false"/>
      <protection locked="true" hidden="false"/>
    </xf>
    <xf numFmtId="164" fontId="21" fillId="5" borderId="0" xfId="0" applyFont="true" applyBorder="false" applyAlignment="true" applyProtection="false">
      <alignment horizontal="left" vertical="center" textRotation="0" wrapText="false" indent="1" shrinkToFit="false"/>
      <protection locked="true" hidden="false"/>
    </xf>
    <xf numFmtId="164" fontId="21" fillId="5" borderId="0" xfId="0" applyFont="true" applyBorder="true" applyAlignment="true" applyProtection="false">
      <alignment horizontal="left" vertical="center" textRotation="0" wrapText="false" indent="1" shrinkToFit="false"/>
      <protection locked="true" hidden="false"/>
    </xf>
    <xf numFmtId="164" fontId="22" fillId="4" borderId="0" xfId="0" applyFont="true" applyBorder="true" applyAlignment="true" applyProtection="false">
      <alignment horizontal="left" vertical="top" textRotation="0" wrapText="true" indent="0" shrinkToFit="false"/>
      <protection locked="true" hidden="false"/>
    </xf>
    <xf numFmtId="164" fontId="23" fillId="4" borderId="0" xfId="0" applyFont="true" applyBorder="true" applyAlignment="true" applyProtection="false">
      <alignment horizontal="right" vertical="center" textRotation="0" wrapText="false" indent="0" shrinkToFit="false"/>
      <protection locked="true" hidden="false"/>
    </xf>
    <xf numFmtId="164" fontId="24" fillId="5" borderId="0" xfId="0" applyFont="true" applyBorder="false" applyAlignment="true" applyProtection="false">
      <alignment horizontal="left" vertical="top" textRotation="0" wrapText="true" indent="0" shrinkToFit="false"/>
      <protection locked="true" hidden="false"/>
    </xf>
    <xf numFmtId="164" fontId="25" fillId="4" borderId="0" xfId="0" applyFont="true" applyBorder="true" applyAlignment="true" applyProtection="false">
      <alignment horizontal="left" vertical="top" textRotation="0" wrapText="true" indent="1" shrinkToFit="false"/>
      <protection locked="true" hidden="false"/>
    </xf>
    <xf numFmtId="164" fontId="26" fillId="5" borderId="0" xfId="0" applyFont="true" applyBorder="false" applyAlignment="true" applyProtection="false">
      <alignment horizontal="left" vertical="top" textRotation="0" wrapText="true" indent="1" shrinkToFit="false"/>
      <protection locked="true" hidden="false"/>
    </xf>
    <xf numFmtId="164" fontId="27" fillId="5" borderId="0" xfId="0" applyFont="true" applyBorder="true" applyAlignment="true" applyProtection="false">
      <alignment horizontal="left" vertical="top" textRotation="0" wrapText="true" indent="1" shrinkToFit="false"/>
      <protection locked="true" hidden="false"/>
    </xf>
    <xf numFmtId="168" fontId="28" fillId="5" borderId="0" xfId="0" applyFont="true" applyBorder="false" applyAlignment="true" applyProtection="false">
      <alignment horizontal="left" vertical="top" textRotation="0" wrapText="true" indent="1" shrinkToFit="false"/>
      <protection locked="tru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8" fontId="29" fillId="5" borderId="0" xfId="0" applyFont="true" applyBorder="false" applyAlignment="true" applyProtection="false">
      <alignment horizontal="left" vertical="top" textRotation="0" wrapText="true" indent="0" shrinkToFit="false"/>
      <protection locked="true" hidden="false"/>
    </xf>
    <xf numFmtId="164" fontId="27" fillId="5"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true" applyAlignment="true" applyProtection="false">
      <alignment horizontal="left" vertical="top" textRotation="0" wrapText="true" indent="0" shrinkToFit="false"/>
      <protection locked="true" hidden="false"/>
    </xf>
    <xf numFmtId="164" fontId="25" fillId="4" borderId="0" xfId="0" applyFont="true" applyBorder="true" applyAlignment="true" applyProtection="false">
      <alignment horizontal="left" vertical="top" textRotation="0" wrapText="true" indent="0" shrinkToFit="false"/>
      <protection locked="true" hidden="false"/>
    </xf>
    <xf numFmtId="164" fontId="30" fillId="4" borderId="0" xfId="0" applyFont="true" applyBorder="false" applyAlignment="true" applyProtection="false">
      <alignment horizontal="left" vertical="top" textRotation="0" wrapText="true" indent="1" shrinkToFit="false"/>
      <protection locked="true" hidden="false"/>
    </xf>
    <xf numFmtId="164" fontId="30" fillId="4" borderId="0" xfId="0" applyFont="true" applyBorder="true" applyAlignment="true" applyProtection="false">
      <alignment horizontal="left" vertical="top" textRotation="0" wrapText="true" indent="1" shrinkToFit="false"/>
      <protection locked="true" hidden="false"/>
    </xf>
    <xf numFmtId="164" fontId="30" fillId="4" borderId="0" xfId="0" applyFont="true" applyBorder="tru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center" vertical="top" textRotation="0" wrapText="true" indent="0" shrinkToFit="false"/>
      <protection locked="true" hidden="false"/>
    </xf>
    <xf numFmtId="164" fontId="31" fillId="0" borderId="0" xfId="0" applyFont="true" applyBorder="true" applyAlignment="true" applyProtection="false">
      <alignment horizontal="left" vertical="top" textRotation="0" wrapText="true" indent="1" shrinkToFit="false"/>
      <protection locked="true" hidden="false"/>
    </xf>
    <xf numFmtId="164" fontId="27" fillId="0" borderId="0" xfId="0" applyFont="true" applyBorder="true" applyAlignment="true" applyProtection="false">
      <alignment horizontal="left" vertical="center" textRotation="0" wrapText="fals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xf numFmtId="164" fontId="32" fillId="0"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true" applyAlignment="true" applyProtection="false">
      <alignment horizontal="left" vertical="center" textRotation="0" wrapText="true" indent="1" shrinkToFit="false"/>
      <protection locked="true" hidden="false"/>
    </xf>
    <xf numFmtId="164" fontId="27" fillId="0" borderId="0" xfId="0" applyFont="true" applyBorder="false" applyAlignment="true" applyProtection="false">
      <alignment horizontal="left" vertical="center" textRotation="0" wrapText="true" indent="1" shrinkToFit="false"/>
      <protection locked="true" hidden="false"/>
    </xf>
    <xf numFmtId="164" fontId="25" fillId="6" borderId="0" xfId="0" applyFont="true" applyBorder="true" applyAlignment="true" applyProtection="false">
      <alignment horizontal="left" vertical="top" textRotation="0" wrapText="true" indent="1" shrinkToFit="false"/>
      <protection locked="true" hidden="false"/>
    </xf>
    <xf numFmtId="165" fontId="29" fillId="12" borderId="0" xfId="0" applyFont="true" applyBorder="true" applyAlignment="true" applyProtection="false">
      <alignment horizontal="right" vertical="center" textRotation="0" wrapText="false" indent="1" shrinkToFit="false"/>
      <protection locked="true" hidden="false"/>
    </xf>
    <xf numFmtId="166" fontId="29" fillId="12" borderId="0"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true" applyAlignment="true" applyProtection="false">
      <alignment horizontal="left" vertical="center" textRotation="0" wrapText="false" indent="1" shrinkToFit="false"/>
      <protection locked="true" hidden="false"/>
    </xf>
    <xf numFmtId="164" fontId="25" fillId="13" borderId="0" xfId="0" applyFont="true" applyBorder="true" applyAlignment="true" applyProtection="false">
      <alignment horizontal="left" vertical="top" textRotation="0" wrapText="true" indent="1" shrinkToFit="false"/>
      <protection locked="true" hidden="false"/>
    </xf>
    <xf numFmtId="164" fontId="25" fillId="7" borderId="0" xfId="0" applyFont="true" applyBorder="true" applyAlignment="true" applyProtection="false">
      <alignment horizontal="left" vertical="top" textRotation="0" wrapText="true" indent="1" shrinkToFit="false"/>
      <protection locked="true" hidden="false"/>
    </xf>
    <xf numFmtId="164" fontId="25" fillId="14" borderId="0" xfId="0" applyFont="true" applyBorder="true" applyAlignment="true" applyProtection="false">
      <alignment horizontal="left" vertical="top" textRotation="0" wrapText="true" indent="1" shrinkToFit="false"/>
      <protection locked="true" hidden="false"/>
    </xf>
    <xf numFmtId="164" fontId="25" fillId="15" borderId="0" xfId="0" applyFont="true" applyBorder="true" applyAlignment="true" applyProtection="false">
      <alignment horizontal="left" vertical="top" textRotation="0" wrapText="true" indent="1" shrinkToFit="false"/>
      <protection locked="true" hidden="false"/>
    </xf>
    <xf numFmtId="164" fontId="25" fillId="16" borderId="0" xfId="0" applyFont="true" applyBorder="true" applyAlignment="true" applyProtection="false">
      <alignment horizontal="left" vertical="top" textRotation="0" wrapText="true" indent="1" shrinkToFit="false"/>
      <protection locked="true" hidden="false"/>
    </xf>
    <xf numFmtId="164" fontId="25" fillId="17" borderId="0" xfId="0" applyFont="true" applyBorder="true" applyAlignment="true" applyProtection="false">
      <alignment horizontal="left" vertical="top" textRotation="0" wrapText="true" indent="1" shrinkToFit="false"/>
      <protection locked="true" hidden="false"/>
    </xf>
    <xf numFmtId="164" fontId="25" fillId="8" borderId="0" xfId="0" applyFont="true" applyBorder="true" applyAlignment="true" applyProtection="false">
      <alignment horizontal="left" vertical="top" textRotation="0" wrapText="true" indent="1" shrinkToFit="false"/>
      <protection locked="true" hidden="false"/>
    </xf>
    <xf numFmtId="164" fontId="25" fillId="18" borderId="0" xfId="0" applyFont="true" applyBorder="true" applyAlignment="true" applyProtection="false">
      <alignment horizontal="left" vertical="top" textRotation="0" wrapText="true" indent="1" shrinkToFit="false"/>
      <protection locked="true" hidden="false"/>
    </xf>
    <xf numFmtId="165" fontId="34" fillId="4" borderId="0" xfId="0" applyFont="true" applyBorder="true" applyAlignment="true" applyProtection="false">
      <alignment horizontal="right" vertical="center" textRotation="0" wrapText="false" indent="1" shrinkToFit="false"/>
      <protection locked="true" hidden="false"/>
    </xf>
    <xf numFmtId="166" fontId="34" fillId="4" borderId="0" xfId="0" applyFont="true" applyBorder="true" applyAlignment="true" applyProtection="false">
      <alignment horizontal="center" vertical="center" textRotation="0" wrapText="false" indent="0" shrinkToFit="false"/>
      <protection locked="true" hidden="false"/>
    </xf>
    <xf numFmtId="164" fontId="35" fillId="4" borderId="0" xfId="0" applyFont="true" applyBorder="false" applyAlignment="true" applyProtection="false">
      <alignment horizontal="left" vertical="center" textRotation="0" wrapText="false" indent="1" shrinkToFit="false"/>
      <protection locked="true" hidden="false"/>
    </xf>
    <xf numFmtId="164" fontId="36" fillId="2" borderId="0" xfId="0" applyFont="true" applyBorder="true" applyAlignment="true" applyProtection="false">
      <alignment horizontal="left" vertical="top" textRotation="0" wrapText="true" indent="0" shrinkToFit="false"/>
      <protection locked="true" hidden="false"/>
    </xf>
    <xf numFmtId="165" fontId="34" fillId="2" borderId="0" xfId="0" applyFont="true" applyBorder="true" applyAlignment="true" applyProtection="false">
      <alignment horizontal="right" vertical="center" textRotation="0" wrapText="false" indent="1" shrinkToFit="false"/>
      <protection locked="true" hidden="false"/>
    </xf>
    <xf numFmtId="166" fontId="34" fillId="2" borderId="0" xfId="0" applyFont="true" applyBorder="true" applyAlignment="true" applyProtection="false">
      <alignment horizontal="center" vertical="center" textRotation="0" wrapText="false" indent="0" shrinkToFit="false"/>
      <protection locked="true" hidden="false"/>
    </xf>
    <xf numFmtId="164" fontId="37" fillId="2" borderId="0" xfId="0" applyFont="true" applyBorder="tru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38" fillId="0" borderId="0" xfId="0" applyFont="true" applyBorder="tru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38" fillId="0" borderId="0" xfId="0" applyFont="true" applyBorder="true" applyAlignment="true" applyProtection="false">
      <alignment horizontal="left" vertical="center" textRotation="0" wrapText="false" indent="1" shrinkToFit="false"/>
      <protection locked="true" hidden="false"/>
    </xf>
    <xf numFmtId="164" fontId="39" fillId="5" borderId="0" xfId="0" applyFont="true" applyBorder="true" applyAlignment="true" applyProtection="false">
      <alignment horizontal="left" vertical="top" textRotation="0" wrapText="true" indent="0" shrinkToFit="false"/>
      <protection locked="true" hidden="false"/>
    </xf>
    <xf numFmtId="164" fontId="40" fillId="4" borderId="0" xfId="0" applyFont="true" applyBorder="true" applyAlignment="true" applyProtection="false">
      <alignment horizontal="center" vertical="top" textRotation="0" wrapText="true" indent="0" shrinkToFit="false"/>
      <protection locked="true" hidden="false"/>
    </xf>
    <xf numFmtId="168" fontId="35" fillId="5" borderId="0" xfId="0" applyFont="true" applyBorder="false" applyAlignment="true" applyProtection="false">
      <alignment horizontal="center" vertical="top" textRotation="0" wrapText="true" indent="0" shrinkToFit="false"/>
      <protection locked="true" hidden="false"/>
    </xf>
    <xf numFmtId="164" fontId="9" fillId="4" borderId="0" xfId="0" applyFont="true" applyBorder="true" applyAlignment="true" applyProtection="false">
      <alignment horizontal="left" vertical="top" textRotation="0" wrapText="true" indent="0" shrinkToFit="false"/>
      <protection locked="true" hidden="false"/>
    </xf>
    <xf numFmtId="164" fontId="41" fillId="4" borderId="0" xfId="0" applyFont="true" applyBorder="true" applyAlignment="true" applyProtection="false">
      <alignment horizontal="right" vertical="center" textRotation="0" wrapText="false" indent="0" shrinkToFit="false"/>
      <protection locked="true" hidden="false"/>
    </xf>
    <xf numFmtId="164" fontId="24" fillId="5" borderId="0" xfId="0" applyFont="true" applyBorder="true" applyAlignment="true" applyProtection="false">
      <alignment horizontal="left" vertical="top" textRotation="0" wrapText="true" indent="0" shrinkToFit="false"/>
      <protection locked="true" hidden="false"/>
    </xf>
    <xf numFmtId="164" fontId="42" fillId="0" borderId="0" xfId="0" applyFont="true" applyBorder="false" applyAlignment="true" applyProtection="false">
      <alignment horizontal="left" vertical="top" textRotation="0" wrapText="true" indent="1" shrinkToFit="false"/>
      <protection locked="true" hidden="false"/>
    </xf>
    <xf numFmtId="164" fontId="43" fillId="12" borderId="0" xfId="0" applyFont="true" applyBorder="false" applyAlignment="true" applyProtection="false">
      <alignment horizontal="center" vertical="center" textRotation="0" wrapText="false" indent="0" shrinkToFit="false"/>
      <protection locked="true" hidden="false"/>
    </xf>
    <xf numFmtId="164" fontId="44" fillId="0" borderId="0" xfId="0" applyFont="true" applyBorder="false" applyAlignment="true" applyProtection="false">
      <alignment horizontal="center" vertical="center" textRotation="0" wrapText="false" indent="0" shrinkToFit="false"/>
      <protection locked="true" hidden="false"/>
    </xf>
    <xf numFmtId="164" fontId="45" fillId="19" borderId="1" xfId="0" applyFont="true" applyBorder="true" applyAlignment="true" applyProtection="false">
      <alignment horizontal="center" vertical="center" textRotation="0" wrapText="false" indent="0" shrinkToFit="false"/>
      <protection locked="true" hidden="false"/>
    </xf>
    <xf numFmtId="164" fontId="46" fillId="0" borderId="0" xfId="0" applyFont="true" applyBorder="true" applyAlignment="true" applyProtection="false">
      <alignment horizontal="left" vertical="center" textRotation="0" wrapText="true" indent="0" shrinkToFit="false"/>
      <protection locked="true" hidden="false"/>
    </xf>
    <xf numFmtId="164" fontId="25" fillId="2" borderId="0" xfId="0" applyFont="true" applyBorder="true" applyAlignment="true" applyProtection="false">
      <alignment horizontal="left" vertical="top" textRotation="0" wrapText="true" indent="0" shrinkToFit="false"/>
      <protection locked="true" hidden="false"/>
    </xf>
    <xf numFmtId="164" fontId="47" fillId="4" borderId="0" xfId="0" applyFont="true" applyBorder="false" applyAlignment="true" applyProtection="false">
      <alignment horizontal="left" vertical="top" textRotation="0" wrapText="true" indent="1" shrinkToFit="false"/>
      <protection locked="true" hidden="false"/>
    </xf>
    <xf numFmtId="164" fontId="47" fillId="4" borderId="0" xfId="0" applyFont="true" applyBorder="false" applyAlignment="true" applyProtection="false">
      <alignment horizontal="center" vertical="center" textRotation="0" wrapText="false" indent="0" shrinkToFit="false"/>
      <protection locked="true" hidden="false"/>
    </xf>
    <xf numFmtId="164" fontId="47" fillId="4" borderId="0" xfId="0" applyFont="true" applyBorder="false" applyAlignment="true" applyProtection="false">
      <alignment horizontal="center" vertical="top" textRotation="0" wrapText="true" indent="0" shrinkToFit="false"/>
      <protection locked="true" hidden="false"/>
    </xf>
    <xf numFmtId="164" fontId="42" fillId="0" borderId="0" xfId="0" applyFont="true" applyBorder="false" applyAlignment="true" applyProtection="false">
      <alignment horizontal="left" vertical="top" textRotation="0" wrapText="true" indent="0" shrinkToFit="false"/>
      <protection locked="true" hidden="false"/>
    </xf>
    <xf numFmtId="165" fontId="48" fillId="12" borderId="0" xfId="0" applyFont="true" applyBorder="false" applyAlignment="true" applyProtection="false">
      <alignment horizontal="right" vertical="center" textRotation="0" wrapText="false" indent="1" shrinkToFit="false"/>
      <protection locked="true" hidden="false"/>
    </xf>
    <xf numFmtId="165" fontId="49" fillId="12" borderId="0" xfId="0" applyFont="true" applyBorder="false" applyAlignment="true" applyProtection="false">
      <alignment horizontal="right" vertical="top" textRotation="0" wrapText="true" indent="1" shrinkToFit="false"/>
      <protection locked="true" hidden="false"/>
    </xf>
    <xf numFmtId="166" fontId="48" fillId="12" borderId="0" xfId="0" applyFont="true" applyBorder="false" applyAlignment="true" applyProtection="false">
      <alignment horizontal="righ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0" shrinkToFit="false"/>
      <protection locked="true" hidden="false"/>
    </xf>
    <xf numFmtId="166" fontId="29" fillId="12" borderId="0" xfId="0" applyFont="true" applyBorder="false" applyAlignment="true" applyProtection="false">
      <alignment horizontal="right" vertical="center" textRotation="0" wrapText="false" indent="1" shrinkToFit="false"/>
      <protection locked="true" hidden="false"/>
    </xf>
    <xf numFmtId="168" fontId="50" fillId="0" borderId="0" xfId="0" applyFont="true" applyBorder="true" applyAlignment="true" applyProtection="false">
      <alignment horizontal="left" vertical="top" textRotation="0" wrapText="true" indent="1" shrinkToFit="false"/>
      <protection locked="true" hidden="false"/>
    </xf>
    <xf numFmtId="164" fontId="39" fillId="0" borderId="0" xfId="0" applyFont="true" applyBorder="false" applyAlignment="true" applyProtection="false">
      <alignment horizontal="left" vertical="center" textRotation="0" wrapText="false" indent="0" shrinkToFit="false"/>
      <protection locked="true" hidden="false"/>
    </xf>
    <xf numFmtId="164" fontId="39" fillId="0" borderId="0" xfId="0" applyFont="true" applyBorder="false" applyAlignment="true" applyProtection="false">
      <alignment horizontal="left" vertical="top" textRotation="0" wrapText="true" indent="0" shrinkToFit="false"/>
      <protection locked="true" hidden="false"/>
    </xf>
    <xf numFmtId="165" fontId="51" fillId="0" borderId="0" xfId="0" applyFont="true" applyBorder="false" applyAlignment="true" applyProtection="false">
      <alignment horizontal="right" vertical="center" textRotation="0" wrapText="false" indent="1" shrinkToFit="false"/>
      <protection locked="true" hidden="false"/>
    </xf>
    <xf numFmtId="165" fontId="51" fillId="0" borderId="0" xfId="0" applyFont="true" applyBorder="false" applyAlignment="true" applyProtection="false">
      <alignment horizontal="right" vertical="top" textRotation="0" wrapText="true" indent="1" shrinkToFit="false"/>
      <protection locked="true" hidden="false"/>
    </xf>
    <xf numFmtId="166" fontId="51" fillId="0" borderId="0" xfId="0" applyFont="true" applyBorder="false" applyAlignment="true" applyProtection="false">
      <alignment horizontal="right" vertical="center" textRotation="0" wrapText="false" indent="1" shrinkToFit="false"/>
      <protection locked="true" hidden="false"/>
    </xf>
    <xf numFmtId="164" fontId="35" fillId="0"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top" textRotation="0" wrapText="true" indent="1" shrinkToFit="false"/>
      <protection locked="true" hidden="false"/>
    </xf>
    <xf numFmtId="165" fontId="28" fillId="0" borderId="0" xfId="0" applyFont="true" applyBorder="false" applyAlignment="true" applyProtection="false">
      <alignment horizontal="right" vertical="center" textRotation="0" wrapText="false" indent="1" shrinkToFit="false"/>
      <protection locked="true" hidden="false"/>
    </xf>
    <xf numFmtId="166" fontId="32" fillId="0" borderId="0" xfId="0" applyFont="true" applyBorder="false" applyAlignment="true" applyProtection="false">
      <alignment horizontal="right" vertical="top" textRotation="0" wrapText="true" indent="1" shrinkToFit="false"/>
      <protection locked="true" hidden="false"/>
    </xf>
    <xf numFmtId="166" fontId="32" fillId="0" borderId="0" xfId="0" applyFont="true" applyBorder="false" applyAlignment="true" applyProtection="false">
      <alignment horizontal="right" vertical="center" textRotation="0" wrapText="false" indent="1" shrinkToFit="false"/>
      <protection locked="true" hidden="false"/>
    </xf>
    <xf numFmtId="164" fontId="36" fillId="0" borderId="0" xfId="0" applyFont="true" applyBorder="false" applyAlignment="true" applyProtection="false">
      <alignment horizontal="left" vertical="top" textRotation="0" wrapText="true" indent="1" shrinkToFit="false"/>
      <protection locked="true" hidden="false"/>
    </xf>
    <xf numFmtId="165" fontId="52" fillId="4" borderId="0" xfId="0" applyFont="true" applyBorder="false" applyAlignment="true" applyProtection="false">
      <alignment horizontal="right" vertical="center" textRotation="0" wrapText="false" indent="1" shrinkToFit="false"/>
      <protection locked="true" hidden="false"/>
    </xf>
    <xf numFmtId="166" fontId="53" fillId="4" borderId="0" xfId="0" applyFont="true" applyBorder="false" applyAlignment="true" applyProtection="false">
      <alignment horizontal="right" vertical="top" textRotation="0" wrapText="true" indent="1" shrinkToFit="false"/>
      <protection locked="true" hidden="false"/>
    </xf>
    <xf numFmtId="165" fontId="52" fillId="8" borderId="0" xfId="0" applyFont="true" applyBorder="false" applyAlignment="true" applyProtection="false">
      <alignment horizontal="right" vertical="center" textRotation="0" wrapText="false" indent="1" shrinkToFit="false"/>
      <protection locked="true" hidden="false"/>
    </xf>
    <xf numFmtId="166" fontId="53" fillId="8" borderId="0" xfId="0" applyFont="true" applyBorder="false" applyAlignment="true" applyProtection="false">
      <alignment horizontal="right" vertical="center" textRotation="0" wrapText="false" indent="1" shrinkToFit="false"/>
      <protection locked="true" hidden="false"/>
    </xf>
    <xf numFmtId="168" fontId="28" fillId="5" borderId="2" xfId="0" applyFont="true" applyBorder="true" applyAlignment="true" applyProtection="false">
      <alignment horizontal="left" vertical="top" textRotation="0" wrapText="true" indent="0" shrinkToFit="false"/>
      <protection locked="true" hidden="false"/>
    </xf>
    <xf numFmtId="164" fontId="25" fillId="20" borderId="0" xfId="0" applyFont="true" applyBorder="true" applyAlignment="true" applyProtection="false">
      <alignment horizontal="left" vertical="top" textRotation="0" wrapText="true" indent="1" shrinkToFit="false"/>
      <protection locked="true" hidden="false"/>
    </xf>
    <xf numFmtId="168" fontId="54" fillId="21" borderId="3" xfId="0" applyFont="true" applyBorder="true" applyAlignment="true" applyProtection="false">
      <alignment horizontal="left" vertical="top" textRotation="0" wrapText="true" indent="0" shrinkToFit="false"/>
      <protection locked="true" hidden="false"/>
    </xf>
    <xf numFmtId="164" fontId="25" fillId="8" borderId="0" xfId="0" applyFont="true" applyBorder="true" applyAlignment="true" applyProtection="false">
      <alignment horizontal="left" vertical="top" textRotation="0" wrapText="true" indent="0" shrinkToFit="false"/>
      <protection locked="true" hidden="false"/>
    </xf>
    <xf numFmtId="164" fontId="27" fillId="0" borderId="0" xfId="0" applyFont="true" applyBorder="false" applyAlignment="true" applyProtection="false">
      <alignment horizontal="left" vertical="top" textRotation="0" wrapText="true" indent="0" shrinkToFit="false"/>
      <protection locked="true" hidden="false"/>
    </xf>
    <xf numFmtId="165" fontId="55" fillId="0" borderId="0" xfId="0" applyFont="true" applyBorder="false" applyAlignment="true" applyProtection="false">
      <alignment horizontal="right" vertical="center" textRotation="0" wrapText="false" indent="1" shrinkToFit="false"/>
      <protection locked="true" hidden="false"/>
    </xf>
    <xf numFmtId="164" fontId="39" fillId="0" borderId="0" xfId="0" applyFont="true" applyBorder="false" applyAlignment="true" applyProtection="false">
      <alignment horizontal="left" vertical="top" textRotation="0" wrapText="true" indent="1" shrinkToFit="false"/>
      <protection locked="true" hidden="false"/>
    </xf>
    <xf numFmtId="165" fontId="56" fillId="0" borderId="0" xfId="0" applyFont="true" applyBorder="false" applyAlignment="true" applyProtection="false">
      <alignment horizontal="right" vertical="center" textRotation="0" wrapText="false" indent="1" shrinkToFit="false"/>
      <protection locked="true" hidden="false"/>
    </xf>
    <xf numFmtId="165" fontId="48" fillId="8" borderId="0" xfId="0" applyFont="true" applyBorder="false" applyAlignment="true" applyProtection="false">
      <alignment horizontal="right" vertical="center" textRotation="0" wrapText="false" indent="1" shrinkToFit="false"/>
      <protection locked="true" hidden="false"/>
    </xf>
    <xf numFmtId="164" fontId="57" fillId="0" borderId="0" xfId="0" applyFont="true" applyBorder="false" applyAlignment="true" applyProtection="false">
      <alignment horizontal="left" vertical="top" textRotation="0" wrapText="true" indent="1" shrinkToFit="false"/>
      <protection locked="true" hidden="false"/>
    </xf>
    <xf numFmtId="166" fontId="48" fillId="8" borderId="0" xfId="0" applyFont="true" applyBorder="false" applyAlignment="true" applyProtection="false">
      <alignment horizontal="right" vertical="center" textRotation="0" wrapText="false" indent="1" shrinkToFit="false"/>
      <protection locked="true" hidden="false"/>
    </xf>
    <xf numFmtId="165" fontId="34" fillId="12" borderId="0" xfId="0" applyFont="true" applyBorder="false" applyAlignment="true" applyProtection="false">
      <alignment horizontal="right" vertical="center" textRotation="0" wrapText="false" indent="1" shrinkToFit="false"/>
      <protection locked="true" hidden="false"/>
    </xf>
    <xf numFmtId="164" fontId="39" fillId="0" borderId="0" xfId="0" applyFont="true" applyBorder="true" applyAlignment="true" applyProtection="false">
      <alignment horizontal="left" vertical="top" textRotation="0" wrapText="true" indent="1" shrinkToFit="false"/>
      <protection locked="true" hidden="false"/>
    </xf>
    <xf numFmtId="166" fontId="58" fillId="12" borderId="0" xfId="0" applyFont="true" applyBorder="false" applyAlignment="true" applyProtection="false">
      <alignment horizontal="right" vertical="center" textRotation="0" wrapText="false" indent="1" shrinkToFit="false"/>
      <protection locked="true" hidden="false"/>
    </xf>
    <xf numFmtId="169" fontId="34" fillId="12" borderId="0" xfId="0" applyFont="true" applyBorder="false" applyAlignment="true" applyProtection="false">
      <alignment horizontal="right" vertical="center" textRotation="0" wrapText="false" indent="1" shrinkToFit="false"/>
      <protection locked="true" hidden="false"/>
    </xf>
    <xf numFmtId="164" fontId="25" fillId="4" borderId="0" xfId="0" applyFont="true" applyBorder="false" applyAlignment="true" applyProtection="false">
      <alignment horizontal="left" vertical="top" textRotation="0" wrapText="true" indent="0" shrinkToFit="false"/>
      <protection locked="true" hidden="false"/>
    </xf>
    <xf numFmtId="166" fontId="34" fillId="12" borderId="0" xfId="0" applyFont="true" applyBorder="false" applyAlignment="true" applyProtection="false">
      <alignment horizontal="right" vertical="center" textRotation="0" wrapText="false" indent="1" shrinkToFit="false"/>
      <protection locked="true" hidden="false"/>
    </xf>
    <xf numFmtId="164" fontId="59" fillId="22" borderId="0" xfId="0" applyFont="true" applyBorder="true" applyAlignment="true" applyProtection="false">
      <alignment horizontal="left" vertical="center" textRotation="0" wrapText="true" indent="0" shrinkToFit="false"/>
      <protection locked="true" hidden="false"/>
    </xf>
    <xf numFmtId="164" fontId="60" fillId="0" borderId="0" xfId="0" applyFont="true" applyBorder="true" applyAlignment="true" applyProtection="false">
      <alignment horizontal="left" vertical="center" textRotation="0" wrapText="true" indent="0" shrinkToFit="false"/>
      <protection locked="true" hidden="false"/>
    </xf>
    <xf numFmtId="164" fontId="59" fillId="22" borderId="0" xfId="0" applyFont="true" applyBorder="false" applyAlignment="true" applyProtection="false">
      <alignment horizontal="left"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left" vertical="center" textRotation="0" wrapText="true" indent="0" shrinkToFit="false"/>
      <protection locked="true" hidden="false"/>
    </xf>
    <xf numFmtId="164" fontId="61" fillId="0" borderId="0" xfId="0" applyFont="true" applyBorder="false" applyAlignment="true" applyProtection="false">
      <alignment horizontal="left" vertical="center"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61" fillId="0" borderId="0" xfId="0" applyFont="true" applyBorder="false" applyAlignment="false" applyProtection="false">
      <alignment horizontal="general" vertical="bottom" textRotation="0" wrapText="false" indent="0" shrinkToFit="false"/>
      <protection locked="true" hidden="false"/>
    </xf>
    <xf numFmtId="170" fontId="61"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5" fontId="61" fillId="0" borderId="0" xfId="0" applyFont="tru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3" fontId="61" fillId="0" borderId="0" xfId="0" applyFont="true" applyBorder="false" applyAlignment="fals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left" vertical="center" textRotation="0" wrapText="true" indent="0" shrinkToFit="false"/>
      <protection locked="true" hidden="false"/>
    </xf>
    <xf numFmtId="164" fontId="63" fillId="0" borderId="0" xfId="0" applyFont="true" applyBorder="false" applyAlignment="true" applyProtection="false">
      <alignment horizontal="general" vertical="top" textRotation="0" wrapText="true" indent="0" shrinkToFit="false"/>
      <protection locked="true" hidden="false"/>
    </xf>
    <xf numFmtId="164" fontId="59" fillId="23" borderId="0" xfId="0" applyFont="true" applyBorder="false" applyAlignment="true" applyProtection="false">
      <alignment horizontal="general" vertical="top" textRotation="0" wrapText="true" indent="0" shrinkToFit="false"/>
      <protection locked="true" hidden="false"/>
    </xf>
    <xf numFmtId="164" fontId="64" fillId="24" borderId="0" xfId="0" applyFont="true" applyBorder="false" applyAlignment="false" applyProtection="fals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top" textRotation="0" wrapText="true" indent="0" shrinkToFit="false"/>
      <protection locked="true" hidden="false"/>
    </xf>
    <xf numFmtId="165" fontId="0" fillId="19" borderId="0" xfId="0" applyFont="false" applyBorder="false" applyAlignment="false" applyProtection="false">
      <alignment horizontal="general" vertical="bottom" textRotation="0" wrapText="false" indent="0" shrinkToFit="false"/>
      <protection locked="true" hidden="false"/>
    </xf>
    <xf numFmtId="166" fontId="65" fillId="0" borderId="0" xfId="0" applyFont="true" applyBorder="false" applyAlignment="false" applyProtection="false">
      <alignment horizontal="general" vertical="bottom" textRotation="0" wrapText="false" indent="0" shrinkToFit="false"/>
      <protection locked="true" hidden="false"/>
    </xf>
    <xf numFmtId="166" fontId="66" fillId="0" borderId="0" xfId="0" applyFont="true" applyBorder="false" applyAlignment="false" applyProtection="false">
      <alignment horizontal="general" vertical="bottom" textRotation="0" wrapText="false" indent="0" shrinkToFit="false"/>
      <protection locked="true" hidden="false"/>
    </xf>
    <xf numFmtId="164" fontId="67" fillId="0" borderId="0" xfId="0" applyFont="true" applyBorder="false" applyAlignment="true" applyProtection="false">
      <alignment horizontal="general" vertical="top" textRotation="0" wrapText="true" indent="0" shrinkToFit="false"/>
      <protection locked="true" hidden="false"/>
    </xf>
    <xf numFmtId="165" fontId="68" fillId="19" borderId="0" xfId="0" applyFont="true" applyBorder="fals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general" vertical="top" textRotation="0" wrapText="true" indent="0" shrinkToFit="false"/>
      <protection locked="true" hidden="false"/>
    </xf>
    <xf numFmtId="169" fontId="67" fillId="19" borderId="0" xfId="0" applyFont="true" applyBorder="false" applyAlignment="false" applyProtection="false">
      <alignment horizontal="general" vertical="bottom" textRotation="0" wrapText="false" indent="0" shrinkToFit="false"/>
      <protection locked="true" hidden="false"/>
    </xf>
    <xf numFmtId="165" fontId="69" fillId="0" borderId="0" xfId="0" applyFont="true" applyBorder="false" applyAlignment="false" applyProtection="false">
      <alignment horizontal="general" vertical="bottom" textRotation="0" wrapText="false" indent="0" shrinkToFit="false"/>
      <protection locked="true" hidden="false"/>
    </xf>
    <xf numFmtId="174" fontId="70" fillId="0" borderId="0" xfId="0" applyFont="true" applyBorder="false" applyAlignment="false" applyProtection="false">
      <alignment horizontal="general" vertical="bottom" textRotation="0" wrapText="false" indent="0" shrinkToFit="false"/>
      <protection locked="true" hidden="false"/>
    </xf>
    <xf numFmtId="166" fontId="70" fillId="0" borderId="0" xfId="0" applyFont="true" applyBorder="false" applyAlignment="false" applyProtection="false">
      <alignment horizontal="general" vertical="bottom" textRotation="0" wrapText="false" indent="0" shrinkToFit="false"/>
      <protection locked="true" hidden="false"/>
    </xf>
    <xf numFmtId="165" fontId="70" fillId="0" borderId="0" xfId="0" applyFont="true" applyBorder="false" applyAlignment="false" applyProtection="false">
      <alignment horizontal="general" vertical="bottom" textRotation="0" wrapText="false" indent="0" shrinkToFit="false"/>
      <protection locked="true" hidden="false"/>
    </xf>
    <xf numFmtId="165" fontId="0" fillId="24" borderId="0" xfId="0" applyFont="false" applyBorder="false" applyAlignment="false" applyProtection="false">
      <alignment horizontal="general"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74" fontId="66" fillId="0" borderId="0" xfId="0" applyFont="true" applyBorder="false" applyAlignment="false" applyProtection="false">
      <alignment horizontal="general" vertical="bottom" textRotation="0" wrapText="false" indent="0" shrinkToFit="false"/>
      <protection locked="true" hidden="false"/>
    </xf>
    <xf numFmtId="174" fontId="65" fillId="0" borderId="0" xfId="0" applyFont="true" applyBorder="false" applyAlignment="false" applyProtection="false">
      <alignment horizontal="general" vertical="bottom" textRotation="0" wrapText="false" indent="0" shrinkToFit="false"/>
      <protection locked="true" hidden="false"/>
    </xf>
    <xf numFmtId="166" fontId="0" fillId="24" borderId="0" xfId="0" applyFont="false" applyBorder="false" applyAlignment="false" applyProtection="false">
      <alignment horizontal="general" vertical="bottom" textRotation="0" wrapText="false" indent="0" shrinkToFit="false"/>
      <protection locked="true" hidden="false"/>
    </xf>
    <xf numFmtId="164" fontId="62" fillId="0" borderId="0" xfId="0" applyFont="true" applyBorder="false" applyAlignment="true" applyProtection="false">
      <alignment horizontal="left" vertical="center"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71" fillId="23" borderId="0" xfId="0" applyFont="true" applyBorder="false" applyAlignment="true" applyProtection="false">
      <alignment horizontal="general" vertical="top" textRotation="0" wrapText="true" indent="0" shrinkToFit="false"/>
      <protection locked="true" hidden="false"/>
    </xf>
    <xf numFmtId="164" fontId="72" fillId="25" borderId="0" xfId="0" applyFont="true" applyBorder="false" applyAlignment="true" applyProtection="false">
      <alignment horizontal="general" vertical="top" textRotation="0" wrapText="true" indent="0" shrinkToFit="false"/>
      <protection locked="true" hidden="false"/>
    </xf>
    <xf numFmtId="164" fontId="73" fillId="0" borderId="0" xfId="0" applyFont="true" applyBorder="false" applyAlignment="true" applyProtection="false">
      <alignment horizontal="general" vertical="top" textRotation="0" wrapText="tru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6" fontId="74" fillId="19"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true" applyProtection="false">
      <alignment horizontal="general" vertical="top" textRotation="0" wrapText="true" indent="0" shrinkToFit="false"/>
      <protection locked="true" hidden="false"/>
    </xf>
    <xf numFmtId="175" fontId="74" fillId="19" borderId="0" xfId="0" applyFont="true" applyBorder="false" applyAlignment="false" applyProtection="false">
      <alignment horizontal="general" vertical="bottom" textRotation="0" wrapText="false" indent="0" shrinkToFit="false"/>
      <protection locked="true" hidden="false"/>
    </xf>
    <xf numFmtId="166" fontId="68" fillId="0" borderId="0" xfId="0" applyFont="true" applyBorder="false" applyAlignment="false" applyProtection="false">
      <alignment horizontal="general" vertical="bottom" textRotation="0" wrapText="false" indent="0" shrinkToFit="false"/>
      <protection locked="true" hidden="false"/>
    </xf>
    <xf numFmtId="176" fontId="68" fillId="0" borderId="0" xfId="0" applyFont="true" applyBorder="false" applyAlignment="false" applyProtection="false">
      <alignment horizontal="general" vertical="bottom" textRotation="0" wrapText="false" indent="0" shrinkToFit="false"/>
      <protection locked="true" hidden="false"/>
    </xf>
    <xf numFmtId="176" fontId="74" fillId="19" borderId="0" xfId="0" applyFont="true" applyBorder="false" applyAlignment="false" applyProtection="false">
      <alignment horizontal="general" vertical="bottom" textRotation="0" wrapText="false" indent="0" shrinkToFit="false"/>
      <protection locked="true" hidden="false"/>
    </xf>
    <xf numFmtId="164" fontId="61" fillId="0" borderId="0" xfId="0" applyFont="true" applyBorder="false" applyAlignment="false" applyProtection="false">
      <alignment horizontal="general" vertical="bottom" textRotation="0" wrapText="false" indent="0" shrinkToFit="false"/>
      <protection locked="true" hidden="false"/>
    </xf>
    <xf numFmtId="164" fontId="62" fillId="0" borderId="0" xfId="0" applyFont="true" applyBorder="true" applyAlignment="false" applyProtection="false">
      <alignment horizontal="general" vertical="bottom" textRotation="0" wrapText="false" indent="0" shrinkToFit="false"/>
      <protection locked="true" hidden="false"/>
    </xf>
    <xf numFmtId="164" fontId="76" fillId="26" borderId="0" xfId="0" applyFont="true" applyBorder="false" applyAlignment="true" applyProtection="false">
      <alignment horizontal="general" vertical="top" textRotation="0" wrapText="true" indent="0" shrinkToFit="false"/>
      <protection locked="true" hidden="false"/>
    </xf>
    <xf numFmtId="164" fontId="77" fillId="0" borderId="0" xfId="0" applyFont="true" applyBorder="false" applyAlignment="true" applyProtection="false">
      <alignment horizontal="general" vertical="top" textRotation="0" wrapText="true" indent="0" shrinkToFit="false"/>
      <protection locked="true" hidden="false"/>
    </xf>
    <xf numFmtId="164" fontId="78" fillId="27" borderId="0" xfId="0" applyFont="true" applyBorder="false" applyAlignment="true" applyProtection="false">
      <alignment horizontal="general" vertical="top" textRotation="0" wrapText="tru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5" fontId="70" fillId="0" borderId="0" xfId="0" applyFont="true" applyBorder="false" applyAlignment="true" applyProtection="false">
      <alignment horizontal="general" vertical="top" textRotation="0" wrapText="true" indent="0" shrinkToFit="false"/>
      <protection locked="true" hidden="false"/>
    </xf>
    <xf numFmtId="165" fontId="64" fillId="19" borderId="0" xfId="0" applyFont="true" applyBorder="false" applyAlignment="false" applyProtection="false">
      <alignment horizontal="general" vertical="bottom" textRotation="0" wrapText="false" indent="0" shrinkToFit="false"/>
      <protection locked="true" hidden="false"/>
    </xf>
    <xf numFmtId="177" fontId="65" fillId="0" borderId="0" xfId="0" applyFont="true" applyBorder="false" applyAlignment="false" applyProtection="false">
      <alignment horizontal="general" vertical="bottom" textRotation="0" wrapText="false" indent="0" shrinkToFit="false"/>
      <protection locked="true" hidden="false"/>
    </xf>
    <xf numFmtId="165" fontId="64" fillId="19" borderId="4" xfId="0" applyFont="true" applyBorder="true" applyAlignment="false" applyProtection="false">
      <alignment horizontal="general" vertical="bottom" textRotation="0" wrapText="false" indent="0" shrinkToFit="false"/>
      <protection locked="true" hidden="false"/>
    </xf>
    <xf numFmtId="165" fontId="64" fillId="0" borderId="0" xfId="0" applyFont="true" applyBorder="false" applyAlignment="false" applyProtection="false">
      <alignment horizontal="general" vertical="bottom" textRotation="0" wrapText="false" indent="0" shrinkToFit="false"/>
      <protection locked="true" hidden="false"/>
    </xf>
    <xf numFmtId="165" fontId="64" fillId="0" borderId="0" xfId="0" applyFont="true" applyBorder="false" applyAlignment="true" applyProtection="false">
      <alignment horizontal="general" vertical="top" textRotation="0" wrapText="true" indent="0" shrinkToFit="false"/>
      <protection locked="true" hidden="false"/>
    </xf>
    <xf numFmtId="177" fontId="64" fillId="0" borderId="0" xfId="0" applyFont="true" applyBorder="false" applyAlignment="false" applyProtection="false">
      <alignment horizontal="general" vertical="bottom" textRotation="0" wrapText="false" indent="0" shrinkToFit="false"/>
      <protection locked="true" hidden="false"/>
    </xf>
    <xf numFmtId="164" fontId="64" fillId="19" borderId="0" xfId="0" applyFont="true" applyBorder="false" applyAlignment="false" applyProtection="false">
      <alignment horizontal="general" vertical="bottom" textRotation="0" wrapText="false" indent="0" shrinkToFit="false"/>
      <protection locked="true" hidden="false"/>
    </xf>
    <xf numFmtId="169" fontId="68" fillId="19" borderId="0" xfId="0" applyFont="true" applyBorder="false" applyAlignment="false" applyProtection="false">
      <alignment horizontal="general" vertical="bottom" textRotation="0" wrapText="false" indent="0" shrinkToFit="false"/>
      <protection locked="true" hidden="false"/>
    </xf>
    <xf numFmtId="178" fontId="66" fillId="0" borderId="0" xfId="0" applyFont="true" applyBorder="false" applyAlignment="false" applyProtection="false">
      <alignment horizontal="general" vertical="bottom" textRotation="0" wrapText="false" indent="0" shrinkToFit="false"/>
      <protection locked="true" hidden="false"/>
    </xf>
    <xf numFmtId="178" fontId="70" fillId="0" borderId="0" xfId="0" applyFont="true" applyBorder="false" applyAlignment="false" applyProtection="false">
      <alignment horizontal="general" vertical="bottom" textRotation="0" wrapText="false" indent="0" shrinkToFit="false"/>
      <protection locked="true" hidden="false"/>
    </xf>
    <xf numFmtId="179" fontId="70" fillId="0" borderId="0" xfId="0" applyFont="true" applyBorder="false" applyAlignment="false" applyProtection="false">
      <alignment horizontal="general" vertical="bottom" textRotation="0" wrapText="false" indent="0" shrinkToFit="false"/>
      <protection locked="true" hidden="false"/>
    </xf>
    <xf numFmtId="179" fontId="70" fillId="0" borderId="0" xfId="0" applyFont="true" applyBorder="false" applyAlignment="true" applyProtection="false">
      <alignment horizontal="general" vertical="top" textRotation="0" wrapText="true" indent="0" shrinkToFit="false"/>
      <protection locked="true" hidden="false"/>
    </xf>
    <xf numFmtId="179" fontId="65" fillId="0" borderId="0" xfId="0" applyFont="true" applyBorder="false" applyAlignment="false" applyProtection="false">
      <alignment horizontal="general" vertical="bottom" textRotation="0" wrapText="false" indent="0" shrinkToFit="false"/>
      <protection locked="true" hidden="false"/>
    </xf>
    <xf numFmtId="179" fontId="65" fillId="0" borderId="0" xfId="0" applyFont="true" applyBorder="false" applyAlignment="true" applyProtection="false">
      <alignment horizontal="general" vertical="top" textRotation="0" wrapText="true" indent="0" shrinkToFit="false"/>
      <protection locked="true" hidden="false"/>
    </xf>
    <xf numFmtId="179" fontId="66" fillId="0" borderId="0" xfId="0" applyFont="true" applyBorder="false" applyAlignment="false" applyProtection="false">
      <alignment horizontal="general" vertical="bottom" textRotation="0" wrapText="false" indent="0" shrinkToFit="false"/>
      <protection locked="true" hidden="false"/>
    </xf>
    <xf numFmtId="179" fontId="64" fillId="0" borderId="0" xfId="0" applyFont="true" applyBorder="false" applyAlignment="false" applyProtection="false">
      <alignment horizontal="general" vertical="bottom" textRotation="0" wrapText="false" indent="0" shrinkToFit="false"/>
      <protection locked="true" hidden="false"/>
    </xf>
    <xf numFmtId="179" fontId="64" fillId="24" borderId="0" xfId="0" applyFont="true" applyBorder="false" applyAlignment="true" applyProtection="false">
      <alignment horizontal="general" vertical="top" textRotation="0" wrapText="true" indent="0" shrinkToFit="false"/>
      <protection locked="true" hidden="false"/>
    </xf>
    <xf numFmtId="166" fontId="64" fillId="0" borderId="0" xfId="0" applyFont="true" applyBorder="false" applyAlignment="false" applyProtection="false">
      <alignment horizontal="general" vertical="bottom" textRotation="0" wrapText="false" indent="0" shrinkToFit="false"/>
      <protection locked="true" hidden="false"/>
    </xf>
    <xf numFmtId="166" fontId="64" fillId="24" borderId="0" xfId="0" applyFont="true" applyBorder="false" applyAlignment="true" applyProtection="false">
      <alignment horizontal="general" vertical="top" textRotation="0" wrapText="true" indent="0" shrinkToFit="false"/>
      <protection locked="true" hidden="false"/>
    </xf>
    <xf numFmtId="165" fontId="65" fillId="0" borderId="0" xfId="0" applyFont="true" applyBorder="false" applyAlignment="true" applyProtection="false">
      <alignment horizontal="general" vertical="top" textRotation="0" wrapText="true" indent="0" shrinkToFit="false"/>
      <protection locked="true" hidden="false"/>
    </xf>
    <xf numFmtId="165" fontId="66" fillId="0" borderId="0" xfId="0" applyFont="true" applyBorder="false" applyAlignment="false" applyProtection="false">
      <alignment horizontal="general" vertical="bottom" textRotation="0" wrapText="false" indent="0" shrinkToFit="false"/>
      <protection locked="true" hidden="false"/>
    </xf>
    <xf numFmtId="165" fontId="66" fillId="0" borderId="0" xfId="0" applyFont="true" applyBorder="false" applyAlignment="true" applyProtection="false">
      <alignment horizontal="general" vertical="top" textRotation="0" wrapText="true" indent="0" shrinkToFit="false"/>
      <protection locked="true" hidden="false"/>
    </xf>
    <xf numFmtId="179" fontId="64" fillId="0" borderId="0" xfId="0" applyFont="true" applyBorder="false" applyAlignment="true" applyProtection="false">
      <alignment horizontal="general" vertical="top" textRotation="0" wrapText="true" indent="0" shrinkToFit="false"/>
      <protection locked="true" hidden="false"/>
    </xf>
    <xf numFmtId="169" fontId="79" fillId="0" borderId="0" xfId="0" applyFont="true" applyBorder="false" applyAlignment="false" applyProtection="false">
      <alignment horizontal="general" vertical="bottom" textRotation="0" wrapText="false" indent="0" shrinkToFit="false"/>
      <protection locked="true" hidden="false"/>
    </xf>
    <xf numFmtId="169" fontId="64" fillId="24" borderId="0" xfId="0" applyFont="true" applyBorder="false" applyAlignment="true" applyProtection="false">
      <alignment horizontal="general" vertical="top" textRotation="0" wrapText="true" indent="0" shrinkToFit="false"/>
      <protection locked="true" hidden="false"/>
    </xf>
    <xf numFmtId="169" fontId="64" fillId="0" borderId="0" xfId="0" applyFont="true" applyBorder="false" applyAlignment="false" applyProtection="false">
      <alignment horizontal="general" vertical="bottom" textRotation="0" wrapText="false" indent="0" shrinkToFit="false"/>
      <protection locked="true" hidden="false"/>
    </xf>
    <xf numFmtId="164" fontId="76" fillId="23" borderId="0" xfId="0" applyFont="true" applyBorder="false" applyAlignment="true" applyProtection="false">
      <alignment horizontal="general" vertical="top" textRotation="0" wrapText="true" indent="0" shrinkToFit="false"/>
      <protection locked="true" hidden="false"/>
    </xf>
    <xf numFmtId="164" fontId="78" fillId="25" borderId="0" xfId="0" applyFont="true" applyBorder="false" applyAlignment="true" applyProtection="false">
      <alignment horizontal="general" vertical="top" textRotation="0" wrapText="true" indent="0" shrinkToFit="false"/>
      <protection locked="true" hidden="false"/>
    </xf>
    <xf numFmtId="174" fontId="66" fillId="0" borderId="0" xfId="0" applyFont="true" applyBorder="false" applyAlignment="true" applyProtection="false">
      <alignment horizontal="general" vertical="top" textRotation="0" wrapText="true" indent="0" shrinkToFit="false"/>
      <protection locked="true" hidden="false"/>
    </xf>
    <xf numFmtId="166" fontId="65" fillId="0" borderId="0" xfId="0" applyFont="true" applyBorder="false" applyAlignment="true" applyProtection="false">
      <alignment horizontal="general" vertical="top" textRotation="0" wrapText="true" indent="0" shrinkToFit="false"/>
      <protection locked="true" hidden="false"/>
    </xf>
    <xf numFmtId="165" fontId="65" fillId="0" borderId="0" xfId="0" applyFont="true" applyBorder="false" applyAlignment="false" applyProtection="false">
      <alignment horizontal="general" vertical="bottom" textRotation="0" wrapText="false" indent="0" shrinkToFit="false"/>
      <protection locked="true" hidden="false"/>
    </xf>
    <xf numFmtId="164" fontId="80" fillId="24" borderId="0" xfId="0" applyFont="true" applyBorder="false" applyAlignment="true" applyProtection="false">
      <alignment horizontal="general" vertical="top" textRotation="0" wrapText="true" indent="0" shrinkToFit="false"/>
      <protection locked="true" hidden="false"/>
    </xf>
    <xf numFmtId="165" fontId="80" fillId="24" borderId="0" xfId="0" applyFont="true" applyBorder="false" applyAlignment="false" applyProtection="false">
      <alignment horizontal="general" vertical="bottom" textRotation="0" wrapText="false" indent="0" shrinkToFit="false"/>
      <protection locked="true" hidden="false"/>
    </xf>
    <xf numFmtId="169" fontId="64" fillId="24" borderId="0" xfId="0" applyFont="true" applyBorder="false" applyAlignment="false" applyProtection="false">
      <alignment horizontal="general" vertical="bottom" textRotation="0" wrapText="false" indent="0" shrinkToFit="false"/>
      <protection locked="true" hidden="false"/>
    </xf>
    <xf numFmtId="168" fontId="68" fillId="0" borderId="0" xfId="0" applyFont="true" applyBorder="false" applyAlignment="true" applyProtection="false">
      <alignment horizontal="general" vertical="top" textRotation="0" wrapText="true" indent="0" shrinkToFit="false"/>
      <protection locked="true" hidden="false"/>
    </xf>
    <xf numFmtId="169" fontId="65" fillId="0" borderId="0" xfId="0" applyFont="true" applyBorder="false" applyAlignment="true" applyProtection="false">
      <alignment horizontal="general" vertical="top" textRotation="0" wrapText="true" indent="0" shrinkToFit="false"/>
      <protection locked="true" hidden="false"/>
    </xf>
    <xf numFmtId="166" fontId="64" fillId="24" borderId="0" xfId="0" applyFont="true" applyBorder="false" applyAlignment="false" applyProtection="false">
      <alignment horizontal="general" vertical="bottom" textRotation="0" wrapText="false" indent="0" shrinkToFit="false"/>
      <protection locked="true" hidden="false"/>
    </xf>
    <xf numFmtId="169" fontId="65" fillId="0" borderId="0" xfId="0" applyFont="true" applyBorder="false" applyAlignment="false" applyProtection="false">
      <alignment horizontal="general" vertical="bottom" textRotation="0" wrapText="false" indent="0" shrinkToFit="false"/>
      <protection locked="true" hidden="false"/>
    </xf>
    <xf numFmtId="169" fontId="70" fillId="0" borderId="0" xfId="0" applyFont="true" applyBorder="false" applyAlignment="false" applyProtection="false">
      <alignment horizontal="general" vertical="bottom" textRotation="0" wrapText="false" indent="0" shrinkToFit="false"/>
      <protection locked="true" hidden="false"/>
    </xf>
    <xf numFmtId="165" fontId="0" fillId="24" borderId="0" xfId="0" applyFont="false" applyBorder="false" applyAlignment="true" applyProtection="false">
      <alignment horizontal="general" vertical="top" textRotation="0" wrapText="true" indent="0" shrinkToFit="false"/>
      <protection locked="true" hidden="false"/>
    </xf>
    <xf numFmtId="169" fontId="0" fillId="24" borderId="0" xfId="0" applyFont="false" applyBorder="false" applyAlignment="false" applyProtection="false">
      <alignment horizontal="general" vertical="bottom" textRotation="0" wrapText="false" indent="0" shrinkToFit="false"/>
      <protection locked="true" hidden="false"/>
    </xf>
    <xf numFmtId="165" fontId="64" fillId="24" borderId="0" xfId="0" applyFont="true" applyBorder="false" applyAlignment="false" applyProtection="false">
      <alignment horizontal="general" vertical="bottom" textRotation="0" wrapText="false" indent="0" shrinkToFit="false"/>
      <protection locked="true" hidden="false"/>
    </xf>
    <xf numFmtId="166" fontId="70" fillId="0" borderId="0" xfId="0" applyFont="true" applyBorder="false" applyAlignment="true" applyProtection="false">
      <alignment horizontal="general" vertical="top" textRotation="0" wrapText="true" indent="0" shrinkToFit="false"/>
      <protection locked="true" hidden="false"/>
    </xf>
    <xf numFmtId="166" fontId="66" fillId="0" borderId="0" xfId="0" applyFont="true" applyBorder="false" applyAlignment="true" applyProtection="false">
      <alignment horizontal="general" vertical="top" textRotation="0" wrapText="true" indent="0" shrinkToFit="false"/>
      <protection locked="true" hidden="false"/>
    </xf>
    <xf numFmtId="180" fontId="70" fillId="0" borderId="0" xfId="0" applyFont="true" applyBorder="false" applyAlignment="true" applyProtection="false">
      <alignment horizontal="general" vertical="top" textRotation="0" wrapText="true" indent="0" shrinkToFit="false"/>
      <protection locked="true" hidden="false"/>
    </xf>
    <xf numFmtId="165" fontId="68" fillId="24"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top" textRotation="0" wrapText="true" indent="0" shrinkToFit="false"/>
      <protection locked="true" hidden="false"/>
    </xf>
    <xf numFmtId="179" fontId="58" fillId="0" borderId="0" xfId="0" applyFont="true" applyBorder="false" applyAlignment="false" applyProtection="false">
      <alignment horizontal="general" vertical="bottom" textRotation="0" wrapText="false" indent="0" shrinkToFit="false"/>
      <protection locked="true" hidden="false"/>
    </xf>
    <xf numFmtId="165" fontId="73" fillId="24" borderId="0" xfId="0" applyFont="true" applyBorder="false" applyAlignment="false" applyProtection="false">
      <alignment horizontal="general" vertical="bottom" textRotation="0" wrapText="false" indent="0" shrinkToFit="false"/>
      <protection locked="true" hidden="false"/>
    </xf>
    <xf numFmtId="164" fontId="81" fillId="0" borderId="0" xfId="0" applyFont="true" applyBorder="false" applyAlignment="true" applyProtection="false">
      <alignment horizontal="general" vertical="top" textRotation="0" wrapText="true" indent="0" shrinkToFit="false"/>
      <protection locked="true" hidden="false"/>
    </xf>
    <xf numFmtId="165" fontId="82" fillId="24" borderId="0" xfId="0" applyFont="true" applyBorder="false" applyAlignment="false" applyProtection="false">
      <alignment horizontal="general" vertical="bottom" textRotation="0" wrapText="false" indent="0" shrinkToFit="false"/>
      <protection locked="true" hidden="false"/>
    </xf>
    <xf numFmtId="166" fontId="73" fillId="24" borderId="0" xfId="0" applyFont="true" applyBorder="false" applyAlignment="false" applyProtection="false">
      <alignment horizontal="general" vertical="bottom" textRotation="0" wrapText="false" indent="0" shrinkToFit="false"/>
      <protection locked="true" hidden="false"/>
    </xf>
    <xf numFmtId="165" fontId="58" fillId="0" borderId="0" xfId="0" applyFont="true" applyBorder="false" applyAlignment="false" applyProtection="false">
      <alignment horizontal="general" vertical="bottom" textRotation="0" wrapText="false" indent="0" shrinkToFit="false"/>
      <protection locked="true" hidden="false"/>
    </xf>
    <xf numFmtId="166" fontId="58" fillId="0" borderId="0" xfId="0" applyFont="true" applyBorder="false" applyAlignment="false" applyProtection="false">
      <alignment horizontal="general" vertical="bottom" textRotation="0" wrapText="false" indent="0" shrinkToFit="false"/>
      <protection locked="true" hidden="false"/>
    </xf>
    <xf numFmtId="17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top" textRotation="0" wrapText="true" indent="0" shrinkToFit="false"/>
      <protection locked="true" hidden="false"/>
    </xf>
    <xf numFmtId="164" fontId="73" fillId="0" borderId="0" xfId="0" applyFont="true" applyBorder="false" applyAlignment="true" applyProtection="false">
      <alignment horizontal="right" vertical="top" textRotation="0" wrapText="true" indent="0" shrinkToFit="false"/>
      <protection locked="true" hidden="false"/>
    </xf>
    <xf numFmtId="164" fontId="73"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right" vertical="top" textRotation="0" wrapText="true" indent="0" shrinkToFit="false"/>
      <protection locked="true" hidden="false"/>
    </xf>
    <xf numFmtId="179" fontId="58" fillId="0" borderId="0" xfId="0" applyFont="true" applyBorder="false" applyAlignment="true" applyProtection="false">
      <alignment horizontal="center" vertical="top" textRotation="0" wrapText="tru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81" fontId="83" fillId="24" borderId="0" xfId="0" applyFont="true" applyBorder="false" applyAlignment="false" applyProtection="false">
      <alignment horizontal="general" vertical="bottom" textRotation="0" wrapText="false" indent="0" shrinkToFit="false"/>
      <protection locked="true" hidden="false"/>
    </xf>
    <xf numFmtId="164" fontId="71" fillId="28" borderId="0" xfId="0" applyFont="true" applyBorder="true" applyAlignment="true" applyProtection="false">
      <alignment horizontal="general" vertical="top" textRotation="0" wrapText="true" indent="0" shrinkToFit="false"/>
      <protection locked="true" hidden="false"/>
    </xf>
    <xf numFmtId="164" fontId="17" fillId="0" borderId="0" xfId="0" applyFont="true" applyBorder="true" applyAlignment="true" applyProtection="false">
      <alignment horizontal="general" vertical="top" textRotation="0" wrapText="true" indent="0" shrinkToFit="false"/>
      <protection locked="true" hidden="false"/>
    </xf>
    <xf numFmtId="164" fontId="72" fillId="25" borderId="0" xfId="0" applyFont="true" applyBorder="true" applyAlignment="true" applyProtection="false">
      <alignment horizontal="general" vertical="top" textRotation="0" wrapText="true" indent="0" shrinkToFit="false"/>
      <protection locked="true" hidden="false"/>
    </xf>
    <xf numFmtId="164" fontId="84" fillId="29" borderId="0" xfId="0" applyFont="true" applyBorder="false" applyAlignment="true" applyProtection="false">
      <alignment horizontal="center" vertical="top" textRotation="0" wrapText="true" indent="0" shrinkToFit="false"/>
      <protection locked="true" hidden="false"/>
    </xf>
    <xf numFmtId="164" fontId="84" fillId="29" borderId="0" xfId="0" applyFont="true" applyBorder="false" applyAlignment="true" applyProtection="false">
      <alignment horizontal="center" vertical="center" textRotation="0" wrapText="true" indent="0" shrinkToFit="false"/>
      <protection locked="true" hidden="false"/>
    </xf>
    <xf numFmtId="165" fontId="73" fillId="30" borderId="0" xfId="0" applyFont="true" applyBorder="false" applyAlignment="false" applyProtection="false">
      <alignment horizontal="general" vertical="bottom" textRotation="0" wrapText="false" indent="0" shrinkToFit="false"/>
      <protection locked="true" hidden="false"/>
    </xf>
    <xf numFmtId="165" fontId="73" fillId="30" borderId="0" xfId="0" applyFont="true" applyBorder="false" applyAlignment="true" applyProtection="false">
      <alignment horizontal="general" vertical="top" textRotation="0" wrapText="true" indent="0" shrinkToFit="false"/>
      <protection locked="true" hidden="false"/>
    </xf>
    <xf numFmtId="169" fontId="68" fillId="0" borderId="0" xfId="0" applyFont="true" applyBorder="false" applyAlignment="false" applyProtection="false">
      <alignment horizontal="general" vertical="bottom" textRotation="0" wrapText="false" indent="0" shrinkToFit="false"/>
      <protection locked="true" hidden="false"/>
    </xf>
    <xf numFmtId="169" fontId="68" fillId="0" borderId="0" xfId="0" applyFont="true" applyBorder="false" applyAlignment="true" applyProtection="false">
      <alignment horizontal="general" vertical="top" textRotation="0" wrapText="true" indent="0" shrinkToFit="false"/>
      <protection locked="true" hidden="false"/>
    </xf>
    <xf numFmtId="182" fontId="0" fillId="0" borderId="0" xfId="0" applyFont="false" applyBorder="false" applyAlignment="false" applyProtection="fals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top" textRotation="0" wrapText="true" indent="0" shrinkToFit="false"/>
      <protection locked="true" hidden="false"/>
    </xf>
    <xf numFmtId="170" fontId="68" fillId="0" borderId="0" xfId="0" applyFont="true" applyBorder="false" applyAlignment="false" applyProtection="false">
      <alignment horizontal="general" vertical="bottom" textRotation="0" wrapText="false" indent="0" shrinkToFit="false"/>
      <protection locked="true" hidden="false"/>
    </xf>
    <xf numFmtId="170" fontId="68" fillId="0" borderId="0" xfId="0" applyFont="true" applyBorder="false" applyAlignment="true" applyProtection="false">
      <alignment horizontal="general" vertical="top" textRotation="0" wrapText="true" indent="0" shrinkToFit="false"/>
      <protection locked="true" hidden="false"/>
    </xf>
    <xf numFmtId="166" fontId="58" fillId="0" borderId="0" xfId="0" applyFont="true" applyBorder="false" applyAlignment="true" applyProtection="false">
      <alignment horizontal="general" vertical="top" textRotation="0" wrapText="true" indent="0" shrinkToFit="false"/>
      <protection locked="true" hidden="false"/>
    </xf>
    <xf numFmtId="164" fontId="85" fillId="0" borderId="0" xfId="0" applyFont="true" applyBorder="true" applyAlignment="true" applyProtection="false">
      <alignment horizontal="general" vertical="top" textRotation="0" wrapText="true" indent="0" shrinkToFit="false"/>
      <protection locked="true" hidden="false"/>
    </xf>
    <xf numFmtId="164" fontId="84" fillId="29" borderId="0" xfId="0" applyFont="true" applyBorder="false" applyAlignment="true" applyProtection="false">
      <alignment horizontal="center" vertical="center" textRotation="0" wrapText="false" indent="0" shrinkToFit="false"/>
      <protection locked="true" hidden="false"/>
    </xf>
    <xf numFmtId="166" fontId="68" fillId="0" borderId="0" xfId="0" applyFont="true" applyBorder="false" applyAlignment="true" applyProtection="false">
      <alignment horizontal="center" vertical="center" textRotation="0" wrapText="false" indent="0" shrinkToFit="false"/>
      <protection locked="true" hidden="false"/>
    </xf>
    <xf numFmtId="166" fontId="68" fillId="0" borderId="0" xfId="0" applyFont="true" applyBorder="false" applyAlignment="true" applyProtection="false">
      <alignment horizontal="center" vertical="center" textRotation="0" wrapText="true" indent="0" shrinkToFit="false"/>
      <protection locked="true" hidden="false"/>
    </xf>
    <xf numFmtId="166" fontId="74"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general" vertical="top" textRotation="0" wrapText="true" indent="0" shrinkToFit="false"/>
      <protection locked="true" hidden="false"/>
    </xf>
    <xf numFmtId="164" fontId="84" fillId="29" borderId="0" xfId="0" applyFont="true" applyBorder="false" applyAlignment="true" applyProtection="false">
      <alignment horizontal="general" vertical="top" textRotation="0" wrapText="true" indent="0" shrinkToFit="false"/>
      <protection locked="true" hidden="false"/>
    </xf>
    <xf numFmtId="164" fontId="84" fillId="29" borderId="0" xfId="0" applyFont="true" applyBorder="false" applyAlignment="false" applyProtection="false">
      <alignment horizontal="general" vertical="bottom" textRotation="0" wrapText="false" indent="0" shrinkToFit="false"/>
      <protection locked="true" hidden="false"/>
    </xf>
    <xf numFmtId="179" fontId="0" fillId="0" borderId="0" xfId="0" applyFont="false" applyBorder="false" applyAlignment="true" applyProtection="false">
      <alignment horizontal="general" vertical="top" textRotation="0" wrapText="true" indent="0" shrinkToFit="false"/>
      <protection locked="true" hidden="false"/>
    </xf>
    <xf numFmtId="179" fontId="68" fillId="0" borderId="0" xfId="0" applyFont="true" applyBorder="false" applyAlignment="true" applyProtection="false">
      <alignment horizontal="general" vertical="top" textRotation="0" wrapText="true" indent="0" shrinkToFit="false"/>
      <protection locked="true" hidden="false"/>
    </xf>
    <xf numFmtId="183" fontId="73" fillId="0" borderId="0" xfId="0" applyFont="true" applyBorder="false" applyAlignment="false" applyProtection="false">
      <alignment horizontal="general"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general" vertical="top" textRotation="0" wrapText="true" indent="0" shrinkToFit="false"/>
      <protection locked="true" hidden="false"/>
    </xf>
    <xf numFmtId="170" fontId="0" fillId="0" borderId="0" xfId="0" applyFont="false" applyBorder="false" applyAlignment="true" applyProtection="false">
      <alignment horizontal="general" vertical="top" textRotation="0" wrapText="true" indent="0" shrinkToFit="false"/>
      <protection locked="true" hidden="false"/>
    </xf>
    <xf numFmtId="164" fontId="72" fillId="17" borderId="0" xfId="0" applyFont="true" applyBorder="true" applyAlignment="true" applyProtection="false">
      <alignment horizontal="general" vertical="top" textRotation="0" wrapText="true" indent="0" shrinkToFit="false"/>
      <protection locked="true" hidden="false"/>
    </xf>
    <xf numFmtId="164" fontId="86" fillId="30" borderId="0" xfId="0" applyFont="true" applyBorder="false" applyAlignment="true" applyProtection="false">
      <alignment horizontal="general" vertical="top" textRotation="0" wrapText="true" indent="0" shrinkToFit="false"/>
      <protection locked="true" hidden="false"/>
    </xf>
    <xf numFmtId="164" fontId="86" fillId="30" borderId="0" xfId="0" applyFont="true" applyBorder="false" applyAlignment="false" applyProtection="false">
      <alignment horizontal="general" vertical="bottom" textRotation="0" wrapText="false" indent="0" shrinkToFit="false"/>
      <protection locked="true" hidden="false"/>
    </xf>
    <xf numFmtId="165" fontId="87" fillId="30" borderId="0" xfId="0" applyFont="true" applyBorder="false" applyAlignment="true" applyProtection="false">
      <alignment horizontal="general" vertical="top" textRotation="0" wrapText="true" indent="0" shrinkToFit="false"/>
      <protection locked="true" hidden="false"/>
    </xf>
    <xf numFmtId="166" fontId="87" fillId="30" borderId="0" xfId="0" applyFont="true" applyBorder="false" applyAlignment="true" applyProtection="false">
      <alignment horizontal="general" vertical="top" textRotation="0" wrapText="true" indent="0" shrinkToFit="false"/>
      <protection locked="true" hidden="false"/>
    </xf>
    <xf numFmtId="178" fontId="87" fillId="30" borderId="0" xfId="0" applyFont="true" applyBorder="false" applyAlignment="false" applyProtection="false">
      <alignment horizontal="general" vertical="bottom" textRotation="0" wrapText="false" indent="0" shrinkToFit="false"/>
      <protection locked="true" hidden="false"/>
    </xf>
    <xf numFmtId="182" fontId="87" fillId="30" borderId="0" xfId="0" applyFont="true" applyBorder="false" applyAlignment="false" applyProtection="false">
      <alignment horizontal="general" vertical="bottom" textRotation="0" wrapText="false" indent="0" shrinkToFit="false"/>
      <protection locked="true" hidden="false"/>
    </xf>
    <xf numFmtId="169" fontId="87" fillId="30" borderId="0" xfId="0" applyFont="true" applyBorder="false" applyAlignment="true" applyProtection="false">
      <alignment horizontal="general" vertical="top" textRotation="0" wrapText="true" indent="0" shrinkToFit="false"/>
      <protection locked="true" hidden="false"/>
    </xf>
    <xf numFmtId="170" fontId="87" fillId="30" borderId="0" xfId="0" applyFont="true" applyBorder="false" applyAlignment="true" applyProtection="false">
      <alignment horizontal="general" vertical="top" textRotation="0" wrapText="true" indent="0" shrinkToFit="false"/>
      <protection locked="true" hidden="false"/>
    </xf>
    <xf numFmtId="170" fontId="87" fillId="30" borderId="0" xfId="0" applyFont="true" applyBorder="false" applyAlignment="false" applyProtection="false">
      <alignment horizontal="general" vertical="bottom" textRotation="0" wrapText="false" indent="0" shrinkToFit="false"/>
      <protection locked="true" hidden="false"/>
    </xf>
    <xf numFmtId="179" fontId="87" fillId="30" borderId="0" xfId="0" applyFont="true" applyBorder="false" applyAlignment="true" applyProtection="false">
      <alignment horizontal="general" vertical="top" textRotation="0" wrapText="true" indent="0" shrinkToFit="false"/>
      <protection locked="true" hidden="false"/>
    </xf>
    <xf numFmtId="169" fontId="87" fillId="3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left" vertical="top" textRotation="0" wrapText="true" indent="1" shrinkToFit="false"/>
      <protection locked="true" hidden="false"/>
    </xf>
    <xf numFmtId="164" fontId="88" fillId="3" borderId="0" xfId="0" applyFont="true" applyBorder="true" applyAlignment="true" applyProtection="false">
      <alignment horizontal="right" vertical="center" textRotation="0" wrapText="false" indent="0" shrinkToFit="false"/>
      <protection locked="true" hidden="false"/>
    </xf>
    <xf numFmtId="164" fontId="89" fillId="3" borderId="0" xfId="0" applyFont="true" applyBorder="true" applyAlignment="true" applyProtection="false">
      <alignment horizontal="left" vertical="top" textRotation="0" wrapText="true" indent="0" shrinkToFit="false"/>
      <protection locked="true" hidden="false"/>
    </xf>
    <xf numFmtId="164" fontId="90" fillId="4" borderId="0" xfId="0" applyFont="true" applyBorder="true" applyAlignment="true" applyProtection="false">
      <alignment horizontal="center" vertical="top" textRotation="0" wrapText="true" indent="0" shrinkToFit="false"/>
      <protection locked="true" hidden="false"/>
    </xf>
    <xf numFmtId="164" fontId="27" fillId="5" borderId="0" xfId="0" applyFont="true" applyBorder="true" applyAlignment="true" applyProtection="false">
      <alignment horizontal="left" vertical="top" textRotation="0" wrapText="true" indent="0" shrinkToFit="false"/>
      <protection locked="true" hidden="false"/>
    </xf>
    <xf numFmtId="164" fontId="4" fillId="3" borderId="0" xfId="0" applyFont="true" applyBorder="true" applyAlignment="true" applyProtection="false">
      <alignment horizontal="left" vertical="top" textRotation="0" wrapText="true" indent="0" shrinkToFit="false"/>
      <protection locked="true" hidden="false"/>
    </xf>
    <xf numFmtId="164" fontId="26" fillId="5" borderId="0" xfId="0" applyFont="true" applyBorder="true" applyAlignment="true" applyProtection="false">
      <alignment horizontal="left" vertical="top" textRotation="0" wrapText="true" indent="1" shrinkToFit="false"/>
      <protection locked="true" hidden="false"/>
    </xf>
    <xf numFmtId="165" fontId="91" fillId="5" borderId="0" xfId="0" applyFont="true" applyBorder="true" applyAlignment="true" applyProtection="false">
      <alignment horizontal="right" vertical="center" textRotation="0" wrapText="false" indent="1" shrinkToFit="false"/>
      <protection locked="true" hidden="false"/>
    </xf>
    <xf numFmtId="168" fontId="39" fillId="5" borderId="0" xfId="0" applyFont="true" applyBorder="false" applyAlignment="true" applyProtection="false">
      <alignment horizontal="left" vertical="center" textRotation="0" wrapText="true" indent="1" shrinkToFit="false"/>
      <protection locked="true" hidden="false"/>
    </xf>
    <xf numFmtId="164" fontId="27" fillId="5" borderId="0" xfId="0" applyFont="true" applyBorder="false" applyAlignment="true" applyProtection="false">
      <alignment horizontal="left" vertical="top" textRotation="0" wrapText="true" indent="0" shrinkToFit="false"/>
      <protection locked="true" hidden="false"/>
    </xf>
    <xf numFmtId="164" fontId="4" fillId="3" borderId="0" xfId="0" applyFont="true" applyBorder="false" applyAlignment="true" applyProtection="false">
      <alignment horizontal="left" vertical="top" textRotation="0" wrapText="true" indent="0" shrinkToFit="false"/>
      <protection locked="true" hidden="false"/>
    </xf>
    <xf numFmtId="164" fontId="8" fillId="3" borderId="0" xfId="0" applyFont="true" applyBorder="true" applyAlignment="true" applyProtection="false">
      <alignment horizontal="center" vertical="top" textRotation="0" wrapText="true" indent="0" shrinkToFit="false"/>
      <protection locked="true" hidden="false"/>
    </xf>
    <xf numFmtId="164" fontId="8" fillId="3" borderId="0" xfId="0" applyFont="true" applyBorder="true" applyAlignment="true" applyProtection="false">
      <alignment horizontal="center" vertical="center" textRotation="0" wrapText="false" indent="0" shrinkToFit="false"/>
      <protection locked="true" hidden="false"/>
    </xf>
    <xf numFmtId="165" fontId="9" fillId="4" borderId="0" xfId="0" applyFont="true" applyBorder="true" applyAlignment="true" applyProtection="false">
      <alignment horizontal="center" vertical="center" textRotation="0" wrapText="false" indent="0" shrinkToFit="false"/>
      <protection locked="true" hidden="false"/>
    </xf>
    <xf numFmtId="164" fontId="27" fillId="5"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92" fillId="0" borderId="0" xfId="0" applyFont="true" applyBorder="false" applyAlignment="false" applyProtection="false">
      <alignment horizontal="general" vertical="bottom" textRotation="0" wrapText="false" indent="0" shrinkToFit="false"/>
      <protection locked="true" hidden="false"/>
    </xf>
    <xf numFmtId="164" fontId="92" fillId="2" borderId="0" xfId="0" applyFont="true" applyBorder="false" applyAlignment="true" applyProtection="false">
      <alignment horizontal="general" vertical="top" textRotation="0" wrapText="true" indent="0" shrinkToFit="false"/>
      <protection locked="true" hidden="false"/>
    </xf>
    <xf numFmtId="164" fontId="92" fillId="2" borderId="0" xfId="0" applyFont="true" applyBorder="false" applyAlignment="false" applyProtection="false">
      <alignment horizontal="general" vertical="bottom" textRotation="0" wrapText="false" indent="0" shrinkToFit="false"/>
      <protection locked="true" hidden="false"/>
    </xf>
    <xf numFmtId="164" fontId="92" fillId="0" borderId="0" xfId="0" applyFont="true" applyBorder="false" applyAlignment="true" applyProtection="false">
      <alignment horizontal="general" vertical="top" textRotation="0" wrapText="true" indent="0" shrinkToFit="false"/>
      <protection locked="true" hidden="false"/>
    </xf>
    <xf numFmtId="168" fontId="25" fillId="2" borderId="0" xfId="0" applyFont="true" applyBorder="false" applyAlignment="true" applyProtection="false">
      <alignment horizontal="left" vertical="top" textRotation="0" wrapText="true" indent="0" shrinkToFit="false"/>
      <protection locked="true" hidden="false"/>
    </xf>
    <xf numFmtId="164" fontId="47" fillId="4" borderId="0" xfId="0" applyFont="true" applyBorder="true" applyAlignment="true" applyProtection="false">
      <alignment horizontal="left" vertical="top" textRotation="0" wrapText="true" indent="1" shrinkToFit="false"/>
      <protection locked="true" hidden="false"/>
    </xf>
    <xf numFmtId="164" fontId="47" fillId="4" borderId="0" xfId="0" applyFont="true" applyBorder="true" applyAlignment="true" applyProtection="false">
      <alignment horizontal="center" vertical="top" textRotation="0" wrapText="true" indent="0" shrinkToFit="false"/>
      <protection locked="true" hidden="false"/>
    </xf>
    <xf numFmtId="164" fontId="64" fillId="5" borderId="0" xfId="0" applyFont="true" applyBorder="false" applyAlignment="true" applyProtection="false">
      <alignment horizontal="left" vertical="top" textRotation="0" wrapText="true" indent="0" shrinkToFit="false"/>
      <protection locked="true" hidden="false"/>
    </xf>
    <xf numFmtId="164" fontId="92" fillId="5" borderId="0" xfId="0" applyFont="true" applyBorder="false" applyAlignment="false" applyProtection="false">
      <alignment horizontal="general" vertical="bottom" textRotation="0" wrapText="false" indent="0" shrinkToFit="false"/>
      <protection locked="true" hidden="false"/>
    </xf>
    <xf numFmtId="164" fontId="39" fillId="5" borderId="0" xfId="0" applyFont="true" applyBorder="true" applyAlignment="true" applyProtection="false">
      <alignment horizontal="left" vertical="top" textRotation="0" wrapText="true" indent="1" shrinkToFit="false"/>
      <protection locked="true" hidden="false"/>
    </xf>
    <xf numFmtId="164" fontId="92" fillId="0" borderId="0" xfId="0" applyFont="true" applyBorder="true" applyAlignment="true" applyProtection="false">
      <alignment horizontal="general" vertical="top" textRotation="0" wrapText="true" indent="0" shrinkToFit="false"/>
      <protection locked="true" hidden="false"/>
    </xf>
    <xf numFmtId="164" fontId="27" fillId="0" borderId="0" xfId="0" applyFont="true" applyBorder="false" applyAlignment="true" applyProtection="false">
      <alignment horizontal="left" vertical="center" textRotation="0" wrapText="false" indent="2" shrinkToFit="false"/>
      <protection locked="true" hidden="false"/>
    </xf>
    <xf numFmtId="165" fontId="27" fillId="31" borderId="0" xfId="0" applyFont="true" applyBorder="false" applyAlignment="true" applyProtection="false">
      <alignment horizontal="right" vertical="center" textRotation="0" wrapText="false" indent="1" shrinkToFit="false"/>
      <protection locked="true" hidden="false"/>
    </xf>
    <xf numFmtId="166" fontId="38" fillId="0" borderId="0" xfId="0" applyFont="true" applyBorder="false" applyAlignment="true" applyProtection="false">
      <alignment horizontal="center" vertical="center" textRotation="0" wrapText="false" indent="0" shrinkToFit="false"/>
      <protection locked="true" hidden="false"/>
    </xf>
    <xf numFmtId="164" fontId="40" fillId="4" borderId="0" xfId="0" applyFont="true" applyBorder="true" applyAlignment="true" applyProtection="false">
      <alignment horizontal="left" vertical="top" textRotation="0" wrapText="true" indent="1" shrinkToFit="false"/>
      <protection locked="true" hidden="false"/>
    </xf>
    <xf numFmtId="165" fontId="93" fillId="4" borderId="0" xfId="0" applyFont="true" applyBorder="false" applyAlignment="true" applyProtection="false">
      <alignment horizontal="right" vertical="center" textRotation="0" wrapText="false" indent="1" shrinkToFit="false"/>
      <protection locked="true" hidden="false"/>
    </xf>
    <xf numFmtId="166" fontId="40" fillId="4" borderId="0" xfId="0" applyFont="true" applyBorder="false" applyAlignment="true" applyProtection="false">
      <alignment horizontal="center" vertical="center" textRotation="0" wrapText="false" indent="0" shrinkToFit="false"/>
      <protection locked="true" hidden="false"/>
    </xf>
    <xf numFmtId="164" fontId="92" fillId="4" borderId="0" xfId="0" applyFont="true" applyBorder="true" applyAlignment="true" applyProtection="false">
      <alignment horizontal="general" vertical="top" textRotation="0" wrapText="true" indent="0" shrinkToFit="false"/>
      <protection locked="true" hidden="false"/>
    </xf>
    <xf numFmtId="164" fontId="36" fillId="5" borderId="0" xfId="0" applyFont="true" applyBorder="true" applyAlignment="true" applyProtection="false">
      <alignment horizontal="left" vertical="top" textRotation="0" wrapText="true" indent="1"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4" borderId="0" xfId="0" applyFont="false" applyBorder="true" applyAlignment="true" applyProtection="false">
      <alignment horizontal="general" vertical="top" textRotation="0" wrapText="true" indent="0" shrinkToFit="false"/>
      <protection locked="true" hidden="false"/>
    </xf>
    <xf numFmtId="164" fontId="94" fillId="2" borderId="0" xfId="0" applyFont="true" applyBorder="false" applyAlignment="true" applyProtection="false">
      <alignment horizontal="left" vertical="top" textRotation="0" wrapText="true" indent="0" shrinkToFit="false"/>
      <protection locked="true" hidden="false"/>
    </xf>
    <xf numFmtId="165" fontId="9" fillId="2" borderId="0" xfId="0" applyFont="true" applyBorder="false" applyAlignment="true" applyProtection="false">
      <alignment horizontal="right" vertical="center" textRotation="0" wrapText="false" indent="1" shrinkToFit="false"/>
      <protection locked="true" hidden="false"/>
    </xf>
    <xf numFmtId="174" fontId="94" fillId="2" borderId="0" xfId="0" applyFont="true" applyBorder="false" applyAlignment="true" applyProtection="false">
      <alignment horizontal="center" vertical="center" textRotation="0" wrapText="false" indent="0" shrinkToFit="false"/>
      <protection locked="true" hidden="false"/>
    </xf>
    <xf numFmtId="164" fontId="95" fillId="2" borderId="0" xfId="0" applyFont="true" applyBorder="true" applyAlignment="true" applyProtection="false">
      <alignment horizontal="left" vertical="top" textRotation="0" wrapText="true" indent="1" shrinkToFit="false"/>
      <protection locked="true" hidden="false"/>
    </xf>
    <xf numFmtId="166" fontId="92" fillId="2" borderId="0" xfId="0" applyFont="true" applyBorder="false" applyAlignment="false" applyProtection="false">
      <alignment horizontal="general" vertical="bottom" textRotation="0" wrapText="false" indent="0" shrinkToFit="false"/>
      <protection locked="true" hidden="false"/>
    </xf>
    <xf numFmtId="164" fontId="27" fillId="32" borderId="0" xfId="0" applyFont="true" applyBorder="false" applyAlignment="true" applyProtection="false">
      <alignment horizontal="left" vertical="top" textRotation="0" wrapText="true" indent="0" shrinkToFit="false"/>
      <protection locked="true" hidden="false"/>
    </xf>
    <xf numFmtId="179" fontId="96" fillId="32" borderId="0" xfId="0" applyFont="true" applyBorder="false" applyAlignment="true" applyProtection="false">
      <alignment horizontal="right" vertical="center" textRotation="0" wrapText="false" indent="1" shrinkToFit="false"/>
      <protection locked="true" hidden="false"/>
    </xf>
    <xf numFmtId="184" fontId="27" fillId="32" borderId="0" xfId="0" applyFont="true" applyBorder="false" applyAlignment="true" applyProtection="false">
      <alignment horizontal="center" vertical="center" textRotation="0" wrapText="false" indent="0" shrinkToFit="false"/>
      <protection locked="true" hidden="false"/>
    </xf>
    <xf numFmtId="166" fontId="96" fillId="32" borderId="0" xfId="0" applyFont="true" applyBorder="false" applyAlignment="true" applyProtection="false">
      <alignment horizontal="center" vertical="center" textRotation="0" wrapText="false" indent="0" shrinkToFit="false"/>
      <protection locked="true" hidden="false"/>
    </xf>
    <xf numFmtId="168" fontId="39" fillId="32" borderId="0" xfId="0" applyFont="true" applyBorder="false" applyAlignment="true" applyProtection="false">
      <alignment horizontal="left" vertical="top" textRotation="0" wrapText="true" indent="1" shrinkToFit="false"/>
      <protection locked="true" hidden="false"/>
    </xf>
    <xf numFmtId="164" fontId="27" fillId="32" borderId="0" xfId="0" applyFont="true" applyBorder="true" applyAlignment="true" applyProtection="false">
      <alignment horizontal="left" vertical="top" textRotation="0" wrapText="true" indent="0" shrinkToFit="false"/>
      <protection locked="true" hidden="false"/>
    </xf>
    <xf numFmtId="164" fontId="39" fillId="32" borderId="0" xfId="0" applyFont="true" applyBorder="true" applyAlignment="true" applyProtection="false">
      <alignment horizontal="left" vertical="top" textRotation="0" wrapText="true" indent="1" shrinkToFit="false"/>
      <protection locked="true" hidden="false"/>
    </xf>
    <xf numFmtId="164" fontId="25" fillId="9" borderId="0" xfId="0" applyFont="true" applyBorder="true" applyAlignment="true" applyProtection="false">
      <alignment horizontal="left" vertical="top" textRotation="0" wrapText="true" indent="0" shrinkToFit="false"/>
      <protection locked="true" hidden="false"/>
    </xf>
    <xf numFmtId="179" fontId="94" fillId="9" borderId="0" xfId="0" applyFont="true" applyBorder="false" applyAlignment="true" applyProtection="false">
      <alignment horizontal="right" vertical="center" textRotation="0" wrapText="false" indent="1" shrinkToFit="false"/>
      <protection locked="true" hidden="false"/>
    </xf>
    <xf numFmtId="184" fontId="25" fillId="9" borderId="0" xfId="0" applyFont="true" applyBorder="false" applyAlignment="true" applyProtection="false">
      <alignment horizontal="center" vertical="center" textRotation="0" wrapText="false" indent="0" shrinkToFit="false"/>
      <protection locked="true" hidden="false"/>
    </xf>
    <xf numFmtId="166" fontId="92" fillId="9" borderId="0" xfId="0" applyFont="true" applyBorder="false" applyAlignment="false" applyProtection="false">
      <alignment horizontal="general" vertical="bottom" textRotation="0" wrapText="false" indent="0" shrinkToFit="false"/>
      <protection locked="true" hidden="false"/>
    </xf>
    <xf numFmtId="168" fontId="97" fillId="9" borderId="0" xfId="0" applyFont="true" applyBorder="false" applyAlignment="true" applyProtection="false">
      <alignment horizontal="left" vertical="top" textRotation="0" wrapText="true" indent="1" shrinkToFit="false"/>
      <protection locked="true" hidden="false"/>
    </xf>
    <xf numFmtId="164" fontId="98" fillId="33" borderId="5" xfId="0" applyFont="true" applyBorder="true" applyAlignment="true" applyProtection="false">
      <alignment horizontal="left" vertical="top" textRotation="0" wrapText="true" indent="0" shrinkToFit="false"/>
      <protection locked="true" hidden="false"/>
    </xf>
    <xf numFmtId="165" fontId="99" fillId="33" borderId="5" xfId="0" applyFont="true" applyBorder="true" applyAlignment="true" applyProtection="false">
      <alignment horizontal="right" vertical="center" textRotation="0" wrapText="false" indent="1" shrinkToFit="false"/>
      <protection locked="true" hidden="false"/>
    </xf>
    <xf numFmtId="166" fontId="42" fillId="33" borderId="5" xfId="0" applyFont="true" applyBorder="true" applyAlignment="true" applyProtection="false">
      <alignment horizontal="center" vertical="center" textRotation="0" wrapText="false" indent="0" shrinkToFit="false"/>
      <protection locked="true" hidden="false"/>
    </xf>
    <xf numFmtId="174" fontId="100" fillId="33" borderId="5" xfId="0" applyFont="true" applyBorder="true" applyAlignment="true" applyProtection="false">
      <alignment horizontal="center" vertical="center" textRotation="0" wrapText="false" indent="0" shrinkToFit="false"/>
      <protection locked="true" hidden="false"/>
    </xf>
    <xf numFmtId="168" fontId="101" fillId="33" borderId="5" xfId="0" applyFont="true" applyBorder="true" applyAlignment="true" applyProtection="false">
      <alignment horizontal="left" vertical="top" textRotation="0" wrapText="true" indent="1" shrinkToFit="false"/>
      <protection locked="true" hidden="false"/>
    </xf>
    <xf numFmtId="179" fontId="27" fillId="0" borderId="0" xfId="0" applyFont="true" applyBorder="false" applyAlignment="true" applyProtection="false">
      <alignment horizontal="right" vertical="center" textRotation="0" wrapText="false" indent="1" shrinkToFit="false"/>
      <protection locked="true" hidden="false"/>
    </xf>
    <xf numFmtId="179" fontId="27" fillId="12" borderId="0" xfId="0" applyFont="true" applyBorder="false" applyAlignment="true" applyProtection="false">
      <alignment horizontal="right" vertical="center" textRotation="0" wrapText="false" indent="1" shrinkToFit="false"/>
      <protection locked="true" hidden="false"/>
    </xf>
    <xf numFmtId="179" fontId="27" fillId="12" borderId="0" xfId="0" applyFont="true" applyBorder="false" applyAlignment="true" applyProtection="false">
      <alignment horizontal="right" vertical="top" textRotation="0" wrapText="true" indent="1" shrinkToFit="false"/>
      <protection locked="true" hidden="false"/>
    </xf>
    <xf numFmtId="165" fontId="102" fillId="0" borderId="0" xfId="0" applyFont="true" applyBorder="false" applyAlignment="true" applyProtection="false">
      <alignment horizontal="right" vertical="center" textRotation="0" wrapText="false" indent="1" shrinkToFit="false"/>
      <protection locked="true" hidden="false"/>
    </xf>
    <xf numFmtId="179" fontId="102" fillId="0" borderId="0" xfId="0" applyFont="true" applyBorder="false" applyAlignment="true" applyProtection="false">
      <alignment horizontal="right" vertical="center" textRotation="0" wrapText="false" indent="1" shrinkToFit="false"/>
      <protection locked="true" hidden="false"/>
    </xf>
    <xf numFmtId="179" fontId="102" fillId="0" borderId="0" xfId="0" applyFont="true" applyBorder="false" applyAlignment="true" applyProtection="false">
      <alignment horizontal="right" vertical="top" textRotation="0" wrapText="true" indent="1" shrinkToFit="false"/>
      <protection locked="true" hidden="false"/>
    </xf>
    <xf numFmtId="179" fontId="36" fillId="5" borderId="0" xfId="0" applyFont="true" applyBorder="false" applyAlignment="true" applyProtection="false">
      <alignment horizontal="right" vertical="center" textRotation="0" wrapText="false" indent="1" shrinkToFit="false"/>
      <protection locked="true" hidden="false"/>
    </xf>
    <xf numFmtId="179" fontId="36" fillId="5" borderId="0" xfId="0" applyFont="true" applyBorder="false" applyAlignment="true" applyProtection="false">
      <alignment horizontal="right" vertical="top" textRotation="0" wrapText="true" indent="1" shrinkToFit="false"/>
      <protection locked="true" hidden="false"/>
    </xf>
    <xf numFmtId="179" fontId="25" fillId="4" borderId="0" xfId="0" applyFont="true" applyBorder="false" applyAlignment="true" applyProtection="false">
      <alignment horizontal="right" vertical="center" textRotation="0" wrapText="false" indent="1" shrinkToFit="false"/>
      <protection locked="true" hidden="false"/>
    </xf>
    <xf numFmtId="179" fontId="25" fillId="4" borderId="0" xfId="0" applyFont="true" applyBorder="false" applyAlignment="true" applyProtection="false">
      <alignment horizontal="right" vertical="top" textRotation="0" wrapText="true" indent="1" shrinkToFit="false"/>
      <protection locked="true" hidden="false"/>
    </xf>
    <xf numFmtId="164" fontId="47" fillId="4" borderId="0" xfId="0" applyFont="true" applyBorder="true" applyAlignment="true" applyProtection="false">
      <alignment horizontal="center" vertical="center" textRotation="0" wrapText="false" indent="0" shrinkToFit="false"/>
      <protection locked="true" hidden="false"/>
    </xf>
    <xf numFmtId="164" fontId="47" fillId="2" borderId="0" xfId="0" applyFont="true" applyBorder="true" applyAlignment="true" applyProtection="false">
      <alignment horizontal="center" vertical="top" textRotation="0" wrapText="true" indent="0" shrinkToFit="false"/>
      <protection locked="true" hidden="false"/>
    </xf>
    <xf numFmtId="164" fontId="27" fillId="0" borderId="0" xfId="0" applyFont="true" applyBorder="true" applyAlignment="true" applyProtection="false">
      <alignment horizontal="left" vertical="top" textRotation="0" wrapText="true" indent="1" shrinkToFit="false"/>
      <protection locked="true" hidden="false"/>
    </xf>
    <xf numFmtId="165" fontId="36" fillId="5" borderId="0" xfId="0" applyFont="true" applyBorder="true" applyAlignment="true" applyProtection="false">
      <alignment horizontal="center" vertical="center" textRotation="0" wrapText="false" indent="0" shrinkToFit="false"/>
      <protection locked="true" hidden="false"/>
    </xf>
    <xf numFmtId="165" fontId="103" fillId="5" borderId="0" xfId="0" applyFont="true" applyBorder="true" applyAlignment="true" applyProtection="false">
      <alignment horizontal="center" vertical="top" textRotation="0" wrapText="true" indent="0" shrinkToFit="false"/>
      <protection locked="true" hidden="false"/>
    </xf>
    <xf numFmtId="164" fontId="104" fillId="0" borderId="0" xfId="0" applyFont="true" applyBorder="true" applyAlignment="true" applyProtection="false">
      <alignment horizontal="left" vertical="top" textRotation="0" wrapText="true" indent="1" shrinkToFit="false"/>
      <protection locked="true" hidden="false"/>
    </xf>
    <xf numFmtId="185" fontId="36" fillId="5" borderId="0" xfId="0" applyFont="true" applyBorder="true" applyAlignment="true" applyProtection="false">
      <alignment horizontal="center" vertical="center" textRotation="0" wrapText="false" indent="0" shrinkToFit="false"/>
      <protection locked="true" hidden="false"/>
    </xf>
    <xf numFmtId="185" fontId="103" fillId="5" borderId="0" xfId="0" applyFont="true" applyBorder="true" applyAlignment="true" applyProtection="false">
      <alignment horizontal="center" vertical="top" textRotation="0" wrapText="true" indent="0" shrinkToFit="false"/>
      <protection locked="true" hidden="false"/>
    </xf>
    <xf numFmtId="168" fontId="104" fillId="0" borderId="0" xfId="0" applyFont="true" applyBorder="false" applyAlignment="true" applyProtection="false">
      <alignment horizontal="left" vertical="top" textRotation="0" wrapText="true" indent="1" shrinkToFit="false"/>
      <protection locked="true" hidden="false"/>
    </xf>
    <xf numFmtId="186" fontId="36" fillId="5" borderId="0" xfId="0" applyFont="true" applyBorder="true" applyAlignment="true" applyProtection="false">
      <alignment horizontal="center" vertical="center" textRotation="0" wrapText="false" indent="0" shrinkToFit="false"/>
      <protection locked="true" hidden="false"/>
    </xf>
    <xf numFmtId="186" fontId="103" fillId="5" borderId="0" xfId="0" applyFont="true" applyBorder="true" applyAlignment="true" applyProtection="false">
      <alignment horizontal="center" vertical="top" textRotation="0" wrapText="true" indent="0" shrinkToFit="false"/>
      <protection locked="true" hidden="false"/>
    </xf>
    <xf numFmtId="166" fontId="36" fillId="5" borderId="0" xfId="0" applyFont="true" applyBorder="true" applyAlignment="true" applyProtection="false">
      <alignment horizontal="center" vertical="center" textRotation="0" wrapText="false" indent="0" shrinkToFit="false"/>
      <protection locked="true" hidden="false"/>
    </xf>
    <xf numFmtId="166" fontId="103" fillId="5" borderId="0" xfId="0" applyFont="true" applyBorder="true" applyAlignment="true" applyProtection="false">
      <alignment horizontal="center" vertical="top" textRotation="0" wrapText="true" indent="0" shrinkToFit="false"/>
      <protection locked="true" hidden="false"/>
    </xf>
    <xf numFmtId="164" fontId="37" fillId="33" borderId="0" xfId="0" applyFont="true" applyBorder="false" applyAlignment="true" applyProtection="false">
      <alignment horizontal="left" vertical="top" textRotation="0" wrapText="true" indent="0" shrinkToFit="false"/>
      <protection locked="true" hidden="false"/>
    </xf>
    <xf numFmtId="164" fontId="9" fillId="4" borderId="0" xfId="0" applyFont="true" applyBorder="false" applyAlignment="true" applyProtection="false">
      <alignment horizontal="left" vertical="top" textRotation="0" wrapText="true" indent="0" shrinkToFit="false"/>
      <protection locked="true" hidden="false"/>
    </xf>
    <xf numFmtId="164" fontId="77" fillId="5" borderId="0" xfId="0" applyFont="true" applyBorder="false" applyAlignment="true" applyProtection="false">
      <alignment horizontal="left" vertical="top" textRotation="0" wrapText="true" indent="0" shrinkToFit="false"/>
      <protection locked="true" hidden="false"/>
    </xf>
    <xf numFmtId="164" fontId="105" fillId="0" borderId="0" xfId="0" applyFont="true" applyBorder="false" applyAlignment="true" applyProtection="false">
      <alignment horizontal="general" vertical="top" textRotation="0" wrapText="true" indent="0" shrinkToFit="false"/>
      <protection locked="true" hidden="false"/>
    </xf>
    <xf numFmtId="187" fontId="42" fillId="31" borderId="0" xfId="0" applyFont="true" applyBorder="false" applyAlignment="true" applyProtection="false">
      <alignment horizontal="center" vertical="center" textRotation="0" wrapText="false" indent="0" shrinkToFit="false"/>
      <protection locked="true" hidden="false"/>
    </xf>
    <xf numFmtId="165" fontId="27" fillId="0" borderId="0" xfId="0" applyFont="true" applyBorder="false" applyAlignment="true" applyProtection="false">
      <alignment horizontal="right" vertical="center" textRotation="0" wrapText="false" indent="1" shrinkToFit="false"/>
      <protection locked="true" hidden="false"/>
    </xf>
    <xf numFmtId="165" fontId="27" fillId="0" borderId="0" xfId="0" applyFont="true" applyBorder="false" applyAlignment="true" applyProtection="false">
      <alignment horizontal="right" vertical="top" textRotation="0" wrapText="true" indent="1" shrinkToFit="false"/>
      <protection locked="true" hidden="false"/>
    </xf>
    <xf numFmtId="165" fontId="24" fillId="0" borderId="0" xfId="0" applyFont="true" applyBorder="false" applyAlignment="true" applyProtection="false">
      <alignment horizontal="right" vertical="center" textRotation="0" wrapText="false" indent="1" shrinkToFit="false"/>
      <protection locked="true" hidden="false"/>
    </xf>
    <xf numFmtId="179" fontId="27" fillId="0" borderId="0" xfId="0" applyFont="true" applyBorder="false" applyAlignment="true" applyProtection="false">
      <alignment horizontal="right" vertical="top" textRotation="0" wrapText="true" indent="1" shrinkToFit="false"/>
      <protection locked="true" hidden="false"/>
    </xf>
    <xf numFmtId="165" fontId="93" fillId="4" borderId="0" xfId="0" applyFont="true" applyBorder="false" applyAlignment="true" applyProtection="false">
      <alignment horizontal="right" vertical="top" textRotation="0" wrapText="true" indent="1" shrinkToFit="false"/>
      <protection locked="true" hidden="false"/>
    </xf>
    <xf numFmtId="188" fontId="36" fillId="31" borderId="0" xfId="0" applyFont="true" applyBorder="false" applyAlignment="true" applyProtection="false">
      <alignment horizontal="center" vertical="center" textRotation="0" wrapText="false" indent="0" shrinkToFit="false"/>
      <protection locked="true" hidden="false"/>
    </xf>
    <xf numFmtId="188" fontId="36" fillId="31" borderId="0" xfId="0" applyFont="true" applyBorder="false" applyAlignment="true" applyProtection="false">
      <alignment horizontal="center" vertical="top" textRotation="0" wrapText="true" indent="0" shrinkToFit="false"/>
      <protection locked="true" hidden="false"/>
    </xf>
    <xf numFmtId="164" fontId="26" fillId="5" borderId="0" xfId="0" applyFont="true" applyBorder="false" applyAlignment="true" applyProtection="false">
      <alignment horizontal="left" vertical="top" textRotation="0" wrapText="true" indent="0" shrinkToFit="false"/>
      <protection locked="true" hidden="false"/>
    </xf>
    <xf numFmtId="165" fontId="42" fillId="12" borderId="0" xfId="0" applyFont="true" applyBorder="false" applyAlignment="true" applyProtection="false">
      <alignment horizontal="right" vertical="center" textRotation="0" wrapText="false" indent="1" shrinkToFit="false"/>
      <protection locked="true" hidden="false"/>
    </xf>
    <xf numFmtId="165" fontId="42" fillId="12" borderId="0" xfId="0" applyFont="true" applyBorder="false" applyAlignment="true" applyProtection="false">
      <alignment horizontal="right" vertical="top" textRotation="0" wrapText="true" indent="1" shrinkToFit="false"/>
      <protection locked="true" hidden="false"/>
    </xf>
    <xf numFmtId="165" fontId="36" fillId="0" borderId="0" xfId="0" applyFont="true" applyBorder="false" applyAlignment="true" applyProtection="false">
      <alignment horizontal="right" vertical="center" textRotation="0" wrapText="false" indent="1" shrinkToFit="false"/>
      <protection locked="true" hidden="false"/>
    </xf>
    <xf numFmtId="164" fontId="106" fillId="0" borderId="0" xfId="0" applyFont="true" applyBorder="false" applyAlignment="true" applyProtection="false">
      <alignment horizontal="left" vertical="top" textRotation="0" wrapText="true" indent="1" shrinkToFit="false"/>
      <protection locked="true" hidden="false"/>
    </xf>
    <xf numFmtId="166" fontId="58" fillId="31" borderId="0" xfId="0" applyFont="true" applyBorder="false" applyAlignment="true" applyProtection="false">
      <alignment horizontal="right" vertical="center" textRotation="0" wrapText="false" indent="1" shrinkToFit="false"/>
      <protection locked="true" hidden="false"/>
    </xf>
    <xf numFmtId="166" fontId="36" fillId="31" borderId="0" xfId="0" applyFont="true" applyBorder="false" applyAlignment="true" applyProtection="false">
      <alignment horizontal="right" vertical="center" textRotation="0" wrapText="false" indent="1" shrinkToFit="false"/>
      <protection locked="true" hidden="false"/>
    </xf>
    <xf numFmtId="164" fontId="36" fillId="31" borderId="0" xfId="0" applyFont="true" applyBorder="false" applyAlignment="true" applyProtection="false">
      <alignment horizontal="center" vertical="center" textRotation="0" wrapText="false" indent="0" shrinkToFit="false"/>
      <protection locked="true" hidden="false"/>
    </xf>
    <xf numFmtId="179" fontId="107" fillId="0" borderId="0" xfId="0" applyFont="true" applyBorder="false" applyAlignment="true" applyProtection="false">
      <alignment horizontal="right" vertical="top" textRotation="0" wrapText="true" indent="1" shrinkToFit="false"/>
      <protection locked="true" hidden="false"/>
    </xf>
    <xf numFmtId="179" fontId="107" fillId="0" borderId="0" xfId="0" applyFont="true" applyBorder="false" applyAlignment="true" applyProtection="false">
      <alignment horizontal="right" vertical="center" textRotation="0" wrapText="false" indent="1" shrinkToFit="false"/>
      <protection locked="true" hidden="false"/>
    </xf>
    <xf numFmtId="179" fontId="108" fillId="0" borderId="0" xfId="0" applyFont="true" applyBorder="false" applyAlignment="true" applyProtection="false">
      <alignment horizontal="right" vertical="center" textRotation="0" wrapText="false" indent="1" shrinkToFit="false"/>
      <protection locked="true" hidden="false"/>
    </xf>
    <xf numFmtId="176" fontId="12" fillId="0" borderId="0" xfId="0" applyFont="true" applyBorder="false" applyAlignment="true" applyProtection="false">
      <alignment horizontal="center" vertical="center" textRotation="0" wrapText="false" indent="1" shrinkToFit="false"/>
      <protection locked="true" hidden="false"/>
    </xf>
    <xf numFmtId="165" fontId="12" fillId="0" borderId="0" xfId="0" applyFont="true" applyBorder="false" applyAlignment="true" applyProtection="false">
      <alignment horizontal="right" vertical="top" textRotation="0" wrapText="true" indent="1" shrinkToFit="false"/>
      <protection locked="true" hidden="false"/>
    </xf>
    <xf numFmtId="165" fontId="12" fillId="0" borderId="0" xfId="0" applyFont="true" applyBorder="false" applyAlignment="true" applyProtection="false">
      <alignment horizontal="right" vertical="center" textRotation="0" wrapText="false" indent="1" shrinkToFit="false"/>
      <protection locked="true" hidden="false"/>
    </xf>
    <xf numFmtId="165" fontId="36" fillId="12" borderId="0" xfId="0" applyFont="true" applyBorder="false" applyAlignment="true" applyProtection="false">
      <alignment horizontal="right" vertical="center" textRotation="0" wrapText="false" indent="1" shrinkToFit="false"/>
      <protection locked="true" hidden="false"/>
    </xf>
    <xf numFmtId="186" fontId="42" fillId="12" borderId="0" xfId="0" applyFont="true" applyBorder="false" applyAlignment="true" applyProtection="false">
      <alignment horizontal="right" vertical="center" textRotation="0" wrapText="false" indent="1" shrinkToFit="false"/>
      <protection locked="true" hidden="false"/>
    </xf>
    <xf numFmtId="166" fontId="109" fillId="12" borderId="0" xfId="0" applyFont="true" applyBorder="false" applyAlignment="true" applyProtection="false">
      <alignment horizontal="right" vertical="center" textRotation="0" wrapText="false" indent="1" shrinkToFit="false"/>
      <protection locked="true" hidden="false"/>
    </xf>
    <xf numFmtId="179" fontId="38" fillId="0" borderId="0" xfId="0" applyFont="true" applyBorder="false" applyAlignment="true" applyProtection="false">
      <alignment horizontal="right" vertical="center" textRotation="0" wrapText="false" indent="1" shrinkToFit="false"/>
      <protection locked="true" hidden="false"/>
    </xf>
    <xf numFmtId="179" fontId="38" fillId="0" borderId="0" xfId="0" applyFont="true" applyBorder="false" applyAlignment="true" applyProtection="false">
      <alignment horizontal="right" vertical="top" textRotation="0" wrapText="true" indent="1" shrinkToFit="false"/>
      <protection locked="true" hidden="false"/>
    </xf>
    <xf numFmtId="164" fontId="47" fillId="4" borderId="0" xfId="0" applyFont="true" applyBorder="false" applyAlignment="true" applyProtection="false">
      <alignment horizontal="center" vertical="center" textRotation="0" wrapText="true" indent="0" shrinkToFit="false"/>
      <protection locked="true" hidden="false"/>
    </xf>
    <xf numFmtId="186" fontId="42" fillId="12" borderId="0" xfId="0" applyFont="true" applyBorder="false" applyAlignment="true" applyProtection="false">
      <alignment horizontal="center" vertical="center" textRotation="0" wrapText="false" indent="0" shrinkToFit="false"/>
      <protection locked="true" hidden="false"/>
    </xf>
    <xf numFmtId="186" fontId="42" fillId="12" borderId="0" xfId="0" applyFont="true" applyBorder="false" applyAlignment="true" applyProtection="false">
      <alignment horizontal="center" vertical="top" textRotation="0" wrapText="tru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4" fontId="110" fillId="23" borderId="0" xfId="0" applyFont="true" applyBorder="false" applyAlignment="true" applyProtection="false">
      <alignment horizontal="general" vertical="top" textRotation="0" wrapText="true" indent="0" shrinkToFit="false"/>
      <protection locked="true" hidden="false"/>
    </xf>
    <xf numFmtId="164" fontId="111" fillId="25" borderId="0" xfId="0" applyFont="true" applyBorder="false" applyAlignment="true" applyProtection="false">
      <alignment horizontal="general" vertical="top" textRotation="0" wrapText="true" indent="0" shrinkToFit="false"/>
      <protection locked="true" hidden="false"/>
    </xf>
    <xf numFmtId="164" fontId="0" fillId="20" borderId="0" xfId="0" applyFont="false" applyBorder="false" applyAlignment="true" applyProtection="false">
      <alignment horizontal="general" vertical="top" textRotation="0" wrapText="true" indent="0" shrinkToFit="false"/>
      <protection locked="tru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left" vertical="top" textRotation="0" wrapText="true" indent="1" shrinkToFit="false"/>
      <protection locked="true" hidden="false"/>
    </xf>
    <xf numFmtId="164" fontId="24" fillId="5" borderId="0" xfId="0" applyFont="true" applyBorder="false" applyAlignment="true" applyProtection="false">
      <alignment horizontal="left" vertical="top" textRotation="0" wrapText="true" indent="1" shrinkToFit="false"/>
      <protection locked="true" hidden="false"/>
    </xf>
    <xf numFmtId="166" fontId="42" fillId="31" borderId="0" xfId="0" applyFont="true" applyBorder="false" applyAlignment="true" applyProtection="false">
      <alignment horizontal="center" vertical="center" textRotation="0" wrapText="false" indent="0" shrinkToFit="false"/>
      <protection locked="true" hidden="false"/>
    </xf>
    <xf numFmtId="166" fontId="102" fillId="0" borderId="0" xfId="0" applyFont="true" applyBorder="false" applyAlignment="true" applyProtection="false">
      <alignment horizontal="center" vertical="center" textRotation="0" wrapText="false" indent="0" shrinkToFit="false"/>
      <protection locked="true" hidden="false"/>
    </xf>
    <xf numFmtId="164" fontId="38" fillId="0" borderId="0" xfId="0" applyFont="true" applyBorder="false" applyAlignment="true" applyProtection="false">
      <alignment horizontal="left" vertical="center" textRotation="0" wrapText="true" indent="1" shrinkToFit="false"/>
      <protection locked="true" hidden="false"/>
    </xf>
    <xf numFmtId="175" fontId="42" fillId="31" borderId="0" xfId="0" applyFont="true" applyBorder="false" applyAlignment="true" applyProtection="false">
      <alignment horizontal="center" vertical="center" textRotation="0" wrapText="false" indent="0" shrinkToFit="false"/>
      <protection locked="true" hidden="false"/>
    </xf>
    <xf numFmtId="189" fontId="102" fillId="0" borderId="0" xfId="0" applyFont="true" applyBorder="false" applyAlignment="true" applyProtection="false">
      <alignment horizontal="center" vertical="center" textRotation="0" wrapText="false" indent="0" shrinkToFit="false"/>
      <protection locked="true" hidden="false"/>
    </xf>
    <xf numFmtId="164" fontId="112" fillId="12" borderId="0" xfId="0" applyFont="true" applyBorder="false" applyAlignment="true" applyProtection="false">
      <alignment horizontal="center" vertical="center" textRotation="0" wrapText="false" indent="0" shrinkToFit="false"/>
      <protection locked="true" hidden="false"/>
    </xf>
    <xf numFmtId="164" fontId="106" fillId="12" borderId="0" xfId="0" applyFont="true" applyBorder="true" applyAlignment="true" applyProtection="false">
      <alignment horizontal="left" vertical="center" textRotation="0" wrapText="false" indent="1" shrinkToFit="false"/>
      <protection locked="true" hidden="false"/>
    </xf>
    <xf numFmtId="164" fontId="106" fillId="12" borderId="0" xfId="0" applyFont="true" applyBorder="false" applyAlignment="true" applyProtection="false">
      <alignment horizontal="left" vertical="top" textRotation="0" wrapText="true" indent="1" shrinkToFit="false"/>
      <protection locked="true" hidden="false"/>
    </xf>
    <xf numFmtId="182" fontId="42" fillId="31" borderId="0" xfId="0" applyFont="true" applyBorder="false" applyAlignment="true" applyProtection="false">
      <alignment horizontal="center" vertical="center" textRotation="0" wrapText="false" indent="0" shrinkToFit="false"/>
      <protection locked="true" hidden="false"/>
    </xf>
    <xf numFmtId="164" fontId="113" fillId="0" borderId="0" xfId="0" applyFont="true" applyBorder="false" applyAlignment="true" applyProtection="false">
      <alignment horizontal="center" vertical="center" textRotation="0" wrapText="false" indent="0" shrinkToFit="false"/>
      <protection locked="true" hidden="false"/>
    </xf>
    <xf numFmtId="164" fontId="38" fillId="0" borderId="0" xfId="0" applyFont="true" applyBorder="false" applyAlignment="true" applyProtection="false">
      <alignment horizontal="left" vertical="center" textRotation="0" wrapText="false" indent="1" shrinkToFit="false"/>
      <protection locked="true" hidden="false"/>
    </xf>
    <xf numFmtId="166" fontId="109" fillId="12" borderId="0" xfId="0" applyFont="true" applyBorder="false" applyAlignment="true" applyProtection="false">
      <alignment horizontal="center" vertical="center" textRotation="0" wrapText="false" indent="0" shrinkToFit="false"/>
      <protection locked="true" hidden="false"/>
    </xf>
    <xf numFmtId="164" fontId="106" fillId="0" borderId="0" xfId="0" applyFont="true" applyBorder="false" applyAlignment="true" applyProtection="false">
      <alignment horizontal="center" vertical="center" textRotation="0" wrapText="false" indent="0" shrinkToFit="false"/>
      <protection locked="true" hidden="false"/>
    </xf>
    <xf numFmtId="170" fontId="36" fillId="12" borderId="0" xfId="0" applyFont="true" applyBorder="false" applyAlignment="true" applyProtection="false">
      <alignment horizontal="center" vertical="center" textRotation="0" wrapText="false" indent="0" shrinkToFit="false"/>
      <protection locked="true" hidden="false"/>
    </xf>
    <xf numFmtId="170" fontId="114" fillId="21" borderId="0" xfId="0" applyFont="true" applyBorder="false" applyAlignment="true" applyProtection="false">
      <alignment horizontal="center" vertical="center" textRotation="0" wrapText="false" indent="0" shrinkToFit="false"/>
      <protection locked="true" hidden="false"/>
    </xf>
    <xf numFmtId="164" fontId="115" fillId="0"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true" applyAlignment="true" applyProtection="false">
      <alignment horizontal="left" vertical="top" textRotation="0" wrapText="true" indent="1" shrinkToFit="false"/>
      <protection locked="true" hidden="false"/>
    </xf>
    <xf numFmtId="165" fontId="16" fillId="0" borderId="0" xfId="0" applyFont="true" applyBorder="false" applyAlignment="true" applyProtection="false">
      <alignment horizontal="right" vertical="center" textRotation="0" wrapText="false" indent="1" shrinkToFit="false"/>
      <protection locked="true" hidden="false"/>
    </xf>
    <xf numFmtId="164" fontId="25" fillId="4" borderId="0" xfId="0" applyFont="true" applyBorder="false" applyAlignment="true" applyProtection="false">
      <alignment horizontal="left" vertical="top" textRotation="0" wrapText="true" indent="1" shrinkToFit="false"/>
      <protection locked="true" hidden="false"/>
    </xf>
    <xf numFmtId="165" fontId="25" fillId="4" borderId="0" xfId="0" applyFont="true" applyBorder="false" applyAlignment="true" applyProtection="false">
      <alignment horizontal="right" vertical="center" textRotation="0" wrapText="false" indent="1" shrinkToFit="false"/>
      <protection locked="true" hidden="false"/>
    </xf>
    <xf numFmtId="164" fontId="94" fillId="4" borderId="0" xfId="0" applyFont="true" applyBorder="false" applyAlignment="true" applyProtection="false">
      <alignment horizontal="left" vertical="top" textRotation="0" wrapText="true" indent="1" shrinkToFit="false"/>
      <protection locked="true" hidden="false"/>
    </xf>
    <xf numFmtId="179" fontId="94" fillId="4" borderId="0" xfId="0" applyFont="true" applyBorder="false" applyAlignment="true" applyProtection="false">
      <alignment horizontal="right" vertical="center" textRotation="0" wrapText="false" indent="1" shrinkToFit="false"/>
      <protection locked="true" hidden="false"/>
    </xf>
    <xf numFmtId="179" fontId="114" fillId="0" borderId="0" xfId="0" applyFont="true" applyBorder="false" applyAlignment="true" applyProtection="false">
      <alignment horizontal="right" vertical="center" textRotation="0" wrapText="false" indent="1" shrinkToFit="false"/>
      <protection locked="true" hidden="false"/>
    </xf>
    <xf numFmtId="179" fontId="36" fillId="12" borderId="0" xfId="0" applyFont="true" applyBorder="false" applyAlignment="true" applyProtection="false">
      <alignment horizontal="right" vertical="center" textRotation="0" wrapText="false" indent="1" shrinkToFit="false"/>
      <protection locked="true" hidden="false"/>
    </xf>
    <xf numFmtId="164" fontId="94" fillId="20" borderId="0" xfId="0" applyFont="true" applyBorder="false" applyAlignment="true" applyProtection="false">
      <alignment horizontal="left" vertical="top" textRotation="0" wrapText="true" indent="1" shrinkToFit="false"/>
      <protection locked="true" hidden="false"/>
    </xf>
    <xf numFmtId="179" fontId="94" fillId="20" borderId="0" xfId="0" applyFont="true" applyBorder="false" applyAlignment="true" applyProtection="false">
      <alignment horizontal="right" vertical="center" textRotation="0" wrapText="false" indent="1" shrinkToFit="false"/>
      <protection locked="true" hidden="false"/>
    </xf>
    <xf numFmtId="179" fontId="9" fillId="20" borderId="0" xfId="0" applyFont="true" applyBorder="false" applyAlignment="true" applyProtection="false">
      <alignment horizontal="right" vertical="center" textRotation="0" wrapText="false" indent="1" shrinkToFit="false"/>
      <protection locked="true" hidden="false"/>
    </xf>
    <xf numFmtId="164" fontId="94" fillId="4" borderId="0" xfId="0" applyFont="true" applyBorder="false" applyAlignment="true" applyProtection="false">
      <alignment horizontal="center" vertical="center" textRotation="0" wrapText="false" indent="0" shrinkToFit="false"/>
      <protection locked="true" hidden="false"/>
    </xf>
    <xf numFmtId="165" fontId="9" fillId="20" borderId="0" xfId="0" applyFont="true" applyBorder="false" applyAlignment="true" applyProtection="false">
      <alignment horizontal="right" vertical="center" textRotation="0" wrapText="false" indent="1" shrinkToFit="false"/>
      <protection locked="true" hidden="false"/>
    </xf>
    <xf numFmtId="166" fontId="94" fillId="20" borderId="0" xfId="0" applyFont="true" applyBorder="false" applyAlignment="true" applyProtection="false">
      <alignment horizontal="right" vertical="center" textRotation="0" wrapText="false" indent="1" shrinkToFit="false"/>
      <protection locked="true" hidden="false"/>
    </xf>
    <xf numFmtId="164" fontId="61" fillId="4" borderId="0" xfId="0" applyFont="true" applyBorder="false" applyAlignment="true" applyProtection="false">
      <alignment horizontal="left" vertical="top" textRotation="0" wrapText="true" indent="1" shrinkToFit="false"/>
      <protection locked="true" hidden="false"/>
    </xf>
    <xf numFmtId="164" fontId="61" fillId="4" borderId="0" xfId="0" applyFont="true" applyBorder="false" applyAlignment="true" applyProtection="false">
      <alignment horizontal="center" vertical="center" textRotation="0" wrapText="false" indent="0" shrinkToFit="false"/>
      <protection locked="true" hidden="false"/>
    </xf>
    <xf numFmtId="190" fontId="27" fillId="0" borderId="0" xfId="0" applyFont="true" applyBorder="false" applyAlignment="true" applyProtection="false">
      <alignment horizontal="right" vertical="center" textRotation="0" wrapText="false" indent="1" shrinkToFit="false"/>
      <protection locked="true" hidden="false"/>
    </xf>
    <xf numFmtId="169" fontId="36" fillId="12" borderId="0" xfId="0" applyFont="true" applyBorder="false" applyAlignment="true" applyProtection="false">
      <alignment horizontal="right" vertical="center" textRotation="0" wrapText="false" indent="1" shrinkToFit="false"/>
      <protection locked="true" hidden="false"/>
    </xf>
    <xf numFmtId="164" fontId="26" fillId="0" borderId="0" xfId="0" applyFont="true" applyBorder="false" applyAlignment="true" applyProtection="false">
      <alignment horizontal="center" vertical="center" textRotation="0" wrapText="false" indent="0" shrinkToFit="false"/>
      <protection locked="true" hidden="false"/>
    </xf>
    <xf numFmtId="164" fontId="27" fillId="24" borderId="0" xfId="0" applyFont="true" applyBorder="false" applyAlignment="true" applyProtection="false">
      <alignment horizontal="left" vertical="top" textRotation="0" wrapText="true" indent="1" shrinkToFit="false"/>
      <protection locked="true" hidden="false"/>
    </xf>
    <xf numFmtId="190" fontId="27" fillId="24" borderId="0" xfId="0" applyFont="true" applyBorder="false" applyAlignment="true" applyProtection="false">
      <alignment horizontal="right" vertical="center" textRotation="0" wrapText="false" indent="1" shrinkToFit="false"/>
      <protection locked="true" hidden="false"/>
    </xf>
    <xf numFmtId="165" fontId="27" fillId="24" borderId="0" xfId="0" applyFont="true" applyBorder="false" applyAlignment="true" applyProtection="false">
      <alignment horizontal="right" vertical="center" textRotation="0" wrapText="false" indent="1" shrinkToFit="false"/>
      <protection locked="true" hidden="false"/>
    </xf>
    <xf numFmtId="169" fontId="36" fillId="24" borderId="0" xfId="0" applyFont="true" applyBorder="false" applyAlignment="true" applyProtection="false">
      <alignment horizontal="right" vertical="center" textRotation="0" wrapText="false" indent="1" shrinkToFit="false"/>
      <protection locked="true" hidden="false"/>
    </xf>
    <xf numFmtId="164" fontId="59" fillId="22" borderId="0" xfId="0" applyFont="true" applyBorder="false" applyAlignment="true" applyProtection="false">
      <alignment horizontal="general" vertical="top" textRotation="0" wrapText="true" indent="0" shrinkToFit="false"/>
      <protection locked="true" hidden="false"/>
    </xf>
    <xf numFmtId="190" fontId="0" fillId="0" borderId="0" xfId="0" applyFont="false" applyBorder="false" applyAlignment="false" applyProtection="false">
      <alignment horizontal="general" vertical="bottom" textRotation="0" wrapText="false" indent="0" shrinkToFit="false"/>
      <protection locked="true" hidden="false"/>
    </xf>
    <xf numFmtId="164" fontId="61" fillId="24" borderId="0" xfId="0" applyFont="true" applyBorder="false" applyAlignment="false" applyProtection="false">
      <alignment horizontal="general" vertical="bottom" textRotation="0" wrapText="false" indent="0" shrinkToFit="false"/>
      <protection locked="true" hidden="false"/>
    </xf>
    <xf numFmtId="169" fontId="61" fillId="24" borderId="0" xfId="0" applyFont="true" applyBorder="false" applyAlignment="false" applyProtection="false">
      <alignment horizontal="general" vertical="bottom" textRotation="0" wrapText="false" indent="0" shrinkToFit="false"/>
      <protection locked="true" hidden="false"/>
    </xf>
    <xf numFmtId="164" fontId="61" fillId="24" borderId="0" xfId="0" applyFont="true" applyBorder="false" applyAlignment="true" applyProtection="false">
      <alignment horizontal="left" vertical="center" textRotation="0" wrapText="true" indent="0" shrinkToFit="false"/>
      <protection locked="true" hidden="false"/>
    </xf>
    <xf numFmtId="190" fontId="61" fillId="24" borderId="0" xfId="0" applyFont="true" applyBorder="fals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left" vertical="top" textRotation="0" wrapText="true" indent="0" shrinkToFit="false"/>
      <protection locked="true" hidden="false"/>
    </xf>
    <xf numFmtId="164" fontId="116" fillId="3" borderId="0" xfId="0" applyFont="true" applyBorder="true" applyAlignment="true" applyProtection="false">
      <alignment horizontal="right" vertical="center" textRotation="0" wrapText="false" indent="0" shrinkToFit="false"/>
      <protection locked="true" hidden="false"/>
    </xf>
    <xf numFmtId="165" fontId="117" fillId="4" borderId="0" xfId="0" applyFont="true" applyBorder="true" applyAlignment="true" applyProtection="false">
      <alignment horizontal="center" vertical="top" textRotation="0" wrapText="true" indent="0" shrinkToFit="false"/>
      <protection locked="true" hidden="false"/>
    </xf>
    <xf numFmtId="165" fontId="117" fillId="4" borderId="0" xfId="0" applyFont="true" applyBorder="true" applyAlignment="true" applyProtection="false">
      <alignment horizontal="center" vertical="center" textRotation="0" wrapText="false" indent="0" shrinkToFit="false"/>
      <protection locked="true" hidden="false"/>
    </xf>
    <xf numFmtId="166" fontId="117" fillId="4" borderId="0" xfId="0" applyFont="true" applyBorder="true" applyAlignment="true" applyProtection="false">
      <alignment horizontal="center" vertical="center" textRotation="0" wrapText="false" indent="0" shrinkToFit="false"/>
      <protection locked="true" hidden="false"/>
    </xf>
    <xf numFmtId="191" fontId="117" fillId="4" borderId="0"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true" applyAlignment="true" applyProtection="false">
      <alignment horizontal="general" vertical="top" textRotation="0" wrapText="true" indent="0" shrinkToFit="false"/>
      <protection locked="true" hidden="false"/>
    </xf>
    <xf numFmtId="164" fontId="0" fillId="34" borderId="0" xfId="0" applyFont="false" applyBorder="true" applyAlignment="fals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left" vertical="top" textRotation="0" wrapText="true" indent="0" shrinkToFit="false"/>
      <protection locked="true" hidden="false"/>
    </xf>
    <xf numFmtId="164" fontId="118" fillId="4" borderId="0" xfId="0" applyFont="true" applyBorder="false" applyAlignment="true" applyProtection="false">
      <alignment horizontal="center" vertical="top" textRotation="0" wrapText="true" indent="0" shrinkToFit="false"/>
      <protection locked="true" hidden="false"/>
    </xf>
    <xf numFmtId="164" fontId="118" fillId="4" borderId="0" xfId="0" applyFont="true" applyBorder="false" applyAlignment="true" applyProtection="false">
      <alignment horizontal="center" vertical="center" textRotation="0" wrapText="true" indent="0" shrinkToFit="false"/>
      <protection locked="true" hidden="false"/>
    </xf>
    <xf numFmtId="164" fontId="119" fillId="5" borderId="0" xfId="0" applyFont="true" applyBorder="false" applyAlignment="true" applyProtection="false">
      <alignment horizontal="left" vertical="center" textRotation="0" wrapText="false" indent="1" shrinkToFit="false"/>
      <protection locked="true" hidden="false"/>
    </xf>
    <xf numFmtId="164" fontId="37" fillId="0" borderId="0" xfId="0" applyFont="true" applyBorder="false" applyAlignment="true" applyProtection="false">
      <alignment horizontal="left" vertical="center" textRotation="0" wrapText="true" indent="1" shrinkToFit="false"/>
      <protection locked="true" hidden="false"/>
    </xf>
    <xf numFmtId="164" fontId="104" fillId="0" borderId="0" xfId="0" applyFont="true" applyBorder="false" applyAlignment="true" applyProtection="false">
      <alignment horizontal="left" vertical="center" textRotation="0" wrapText="false" indent="1" shrinkToFit="false"/>
      <protection locked="true" hidden="false"/>
    </xf>
    <xf numFmtId="167" fontId="27" fillId="0" borderId="0" xfId="0" applyFont="true" applyBorder="false" applyAlignment="true" applyProtection="false">
      <alignment horizontal="right" vertical="center" textRotation="0" wrapText="false" indent="1" shrinkToFit="false"/>
      <protection locked="true" hidden="false"/>
    </xf>
    <xf numFmtId="165" fontId="103" fillId="0" borderId="0" xfId="0" applyFont="true" applyBorder="false" applyAlignment="true" applyProtection="false">
      <alignment horizontal="right" vertical="top" textRotation="0" wrapText="true" indent="1" shrinkToFit="false"/>
      <protection locked="true" hidden="false"/>
    </xf>
    <xf numFmtId="164" fontId="120" fillId="0" borderId="0" xfId="0" applyFont="true" applyBorder="false" applyAlignment="true" applyProtection="false">
      <alignment horizontal="center" vertical="center" textRotation="0" wrapText="false" indent="0" shrinkToFit="false"/>
      <protection locked="true" hidden="false"/>
    </xf>
    <xf numFmtId="192" fontId="103" fillId="0" borderId="0" xfId="0" applyFont="true" applyBorder="false" applyAlignment="true" applyProtection="false">
      <alignment horizontal="right" vertical="top" textRotation="0" wrapText="true" indent="1" shrinkToFit="false"/>
      <protection locked="true" hidden="false"/>
    </xf>
    <xf numFmtId="165" fontId="14" fillId="3" borderId="0" xfId="0" applyFont="true" applyBorder="false" applyAlignment="true" applyProtection="false">
      <alignment horizontal="right" vertical="top" textRotation="0" wrapText="true" indent="1"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21" fillId="0" borderId="0" xfId="0" applyFont="true" applyBorder="false" applyAlignment="true" applyProtection="false">
      <alignment horizontal="left" vertical="top" textRotation="0" wrapText="true" indent="0" shrinkToFit="false"/>
      <protection locked="true" hidden="false"/>
    </xf>
    <xf numFmtId="164" fontId="122"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123" fillId="0" borderId="0" xfId="0" applyFont="true" applyBorder="false" applyAlignment="true" applyProtection="false">
      <alignment horizontal="left" vertical="top" textRotation="0" wrapText="true" indent="0" shrinkToFit="false"/>
      <protection locked="true" hidden="false"/>
    </xf>
    <xf numFmtId="164" fontId="124" fillId="0" borderId="0" xfId="0" applyFont="true" applyBorder="false" applyAlignment="true" applyProtection="false">
      <alignment horizontal="left" vertical="center" textRotation="0" wrapText="false" indent="0" shrinkToFit="false"/>
      <protection locked="true" hidden="false"/>
    </xf>
    <xf numFmtId="164" fontId="47" fillId="7" borderId="6" xfId="0" applyFont="true" applyBorder="true" applyAlignment="true" applyProtection="false">
      <alignment horizontal="center" vertical="top" textRotation="0" wrapText="true" indent="0" shrinkToFit="false"/>
      <protection locked="true" hidden="false"/>
    </xf>
    <xf numFmtId="164" fontId="47" fillId="7" borderId="6" xfId="0" applyFont="true" applyBorder="true" applyAlignment="true" applyProtection="false">
      <alignment horizontal="center" vertical="center" textRotation="0" wrapText="true" indent="0" shrinkToFit="false"/>
      <protection locked="true" hidden="false"/>
    </xf>
    <xf numFmtId="164" fontId="44" fillId="0" borderId="0" xfId="0" applyFont="true" applyBorder="false" applyAlignment="true" applyProtection="false">
      <alignment horizontal="center" vertical="top" textRotation="0" wrapText="true" indent="0" shrinkToFit="false"/>
      <protection locked="true" hidden="false"/>
    </xf>
    <xf numFmtId="164" fontId="47" fillId="6" borderId="6" xfId="0" applyFont="true" applyBorder="true" applyAlignment="true" applyProtection="false">
      <alignment horizontal="center" vertical="center" textRotation="0" wrapText="true" indent="0" shrinkToFit="false"/>
      <protection locked="true" hidden="false"/>
    </xf>
    <xf numFmtId="164" fontId="125" fillId="0" borderId="0" xfId="0" applyFont="true" applyBorder="false" applyAlignment="true" applyProtection="false">
      <alignment horizontal="center" vertical="top" textRotation="0" wrapText="false" indent="0" shrinkToFit="false"/>
      <protection locked="true" hidden="false"/>
    </xf>
    <xf numFmtId="164" fontId="125" fillId="0" borderId="0" xfId="0" applyFont="true" applyBorder="false" applyAlignment="true" applyProtection="false">
      <alignment horizontal="center" vertical="top" textRotation="0" wrapText="true" indent="0" shrinkToFit="false"/>
      <protection locked="true" hidden="false"/>
    </xf>
    <xf numFmtId="164" fontId="126" fillId="2" borderId="6" xfId="0" applyFont="true" applyBorder="true" applyAlignment="true" applyProtection="false">
      <alignment horizontal="center" vertical="center" textRotation="0" wrapText="true" indent="0" shrinkToFit="false"/>
      <protection locked="true" hidden="false"/>
    </xf>
    <xf numFmtId="164" fontId="47" fillId="9" borderId="6" xfId="0" applyFont="true" applyBorder="true" applyAlignment="true" applyProtection="false">
      <alignment horizontal="center" vertical="top" textRotation="0" wrapText="true" indent="0" shrinkToFit="false"/>
      <protection locked="true" hidden="false"/>
    </xf>
    <xf numFmtId="164" fontId="47" fillId="9" borderId="6" xfId="0" applyFont="true" applyBorder="true" applyAlignment="true" applyProtection="false">
      <alignment horizontal="center" vertical="center" textRotation="0" wrapText="true" indent="0" shrinkToFit="false"/>
      <protection locked="true" hidden="false"/>
    </xf>
    <xf numFmtId="164" fontId="127" fillId="3" borderId="5" xfId="0" applyFont="true" applyBorder="true" applyAlignment="true" applyProtection="false">
      <alignment horizontal="center" vertical="top" textRotation="0" wrapText="true" indent="0" shrinkToFit="false"/>
      <protection locked="true" hidden="false"/>
    </xf>
    <xf numFmtId="164" fontId="118" fillId="4" borderId="0" xfId="0" applyFont="true" applyBorder="true" applyAlignment="true" applyProtection="false">
      <alignment horizontal="center" vertical="top" textRotation="0" wrapText="true" indent="0" shrinkToFit="false"/>
      <protection locked="true" hidden="false"/>
    </xf>
    <xf numFmtId="164" fontId="118" fillId="4" borderId="0" xfId="0" applyFont="true" applyBorder="true" applyAlignment="true" applyProtection="false">
      <alignment horizontal="center" vertical="center" textRotation="0" wrapText="false" indent="0" shrinkToFit="false"/>
      <protection locked="true" hidden="false"/>
    </xf>
    <xf numFmtId="164" fontId="104" fillId="5" borderId="0" xfId="0" applyFont="true" applyBorder="true" applyAlignment="true" applyProtection="false">
      <alignment horizontal="left" vertical="center" textRotation="0" wrapText="false" indent="1" shrinkToFit="false"/>
      <protection locked="true" hidden="false"/>
    </xf>
    <xf numFmtId="193" fontId="103" fillId="5" borderId="0" xfId="0" applyFont="true" applyBorder="true" applyAlignment="true" applyProtection="false">
      <alignment horizontal="center" vertical="center" textRotation="0" wrapText="false" indent="0" shrinkToFit="false"/>
      <protection locked="true" hidden="false"/>
    </xf>
    <xf numFmtId="164" fontId="100" fillId="5" borderId="0" xfId="0" applyFont="true" applyBorder="true" applyAlignment="true" applyProtection="false">
      <alignment horizontal="center" vertical="center" textRotation="0" wrapText="false" indent="0" shrinkToFit="false"/>
      <protection locked="true" hidden="false"/>
    </xf>
    <xf numFmtId="164" fontId="37" fillId="5" borderId="0" xfId="0" applyFont="true" applyBorder="true" applyAlignment="true" applyProtection="false">
      <alignment horizontal="left" vertical="center" textRotation="0" wrapText="true" indent="1" shrinkToFit="false"/>
      <protection locked="true" hidden="false"/>
    </xf>
    <xf numFmtId="194" fontId="103" fillId="5" borderId="0" xfId="0" applyFont="true" applyBorder="true" applyAlignment="true" applyProtection="false">
      <alignment horizontal="center" vertical="center" textRotation="0" wrapText="false" indent="0" shrinkToFit="false"/>
      <protection locked="true" hidden="false"/>
    </xf>
    <xf numFmtId="164" fontId="15" fillId="5" borderId="0" xfId="0" applyFont="true" applyBorder="true" applyAlignment="true" applyProtection="false">
      <alignment horizontal="center" vertical="center" textRotation="0" wrapText="false" indent="0" shrinkToFit="false"/>
      <protection locked="true" hidden="false"/>
    </xf>
    <xf numFmtId="166" fontId="103" fillId="5" borderId="0" xfId="0" applyFont="true" applyBorder="true" applyAlignment="true" applyProtection="false">
      <alignment horizontal="center" vertical="center" textRotation="0" wrapText="false" indent="0" shrinkToFit="false"/>
      <protection locked="true" hidden="false"/>
    </xf>
    <xf numFmtId="164" fontId="91" fillId="5" borderId="0" xfId="0" applyFont="true" applyBorder="true" applyAlignment="true" applyProtection="false">
      <alignment horizontal="center" vertical="center" textRotation="0" wrapText="false" indent="0" shrinkToFit="false"/>
      <protection locked="true" hidden="false"/>
    </xf>
    <xf numFmtId="195" fontId="103" fillId="5" borderId="0" xfId="0" applyFont="true" applyBorder="true" applyAlignment="true" applyProtection="false">
      <alignment horizontal="center" vertical="center" textRotation="0" wrapText="false" indent="0" shrinkToFit="false"/>
      <protection locked="true" hidden="false"/>
    </xf>
    <xf numFmtId="164" fontId="128" fillId="3" borderId="0" xfId="0" applyFont="true" applyBorder="true" applyAlignment="true" applyProtection="false">
      <alignment horizontal="left" vertical="top" textRotation="0" wrapText="true" indent="0" shrinkToFit="false"/>
      <protection locked="true" hidden="false"/>
    </xf>
    <xf numFmtId="164" fontId="100" fillId="21" borderId="0" xfId="0" applyFont="true" applyBorder="true" applyAlignment="true" applyProtection="false">
      <alignment horizontal="left" vertical="top" textRotation="0" wrapText="true" indent="1" shrinkToFit="false"/>
      <protection locked="true" hidden="false"/>
    </xf>
    <xf numFmtId="164" fontId="129" fillId="5" borderId="0" xfId="0" applyFont="true" applyBorder="true" applyAlignment="true" applyProtection="false">
      <alignment horizontal="left" vertical="center" textRotation="0" wrapText="true" indent="1" shrinkToFit="false"/>
      <protection locked="true" hidden="false"/>
    </xf>
    <xf numFmtId="164" fontId="104" fillId="5" borderId="0" xfId="0" applyFont="true" applyBorder="true" applyAlignment="true" applyProtection="false">
      <alignment horizontal="left" vertical="center" textRotation="0" wrapText="true" indent="1" shrinkToFit="false"/>
      <protection locked="true" hidden="false"/>
    </xf>
    <xf numFmtId="168" fontId="129" fillId="5" borderId="0" xfId="0" applyFont="true" applyBorder="false" applyAlignment="true" applyProtection="false">
      <alignment horizontal="left" vertical="center" textRotation="0" wrapText="true" indent="1" shrinkToFit="false"/>
      <protection locked="true" hidden="false"/>
    </xf>
    <xf numFmtId="164" fontId="100" fillId="21" borderId="0" xfId="0" applyFont="true" applyBorder="true" applyAlignment="true" applyProtection="false">
      <alignment horizontal="left" vertical="top" textRotation="0" wrapText="true" indent="0" shrinkToFit="false"/>
      <protection locked="true" hidden="false"/>
    </xf>
    <xf numFmtId="164" fontId="130" fillId="4" borderId="0" xfId="0" applyFont="true" applyBorder="false" applyAlignment="true" applyProtection="false">
      <alignment horizontal="center" vertical="top" textRotation="0" wrapText="true" indent="0" shrinkToFit="false"/>
      <protection locked="true" hidden="false"/>
    </xf>
    <xf numFmtId="164" fontId="26" fillId="5" borderId="0" xfId="0" applyFont="true" applyBorder="true" applyAlignment="true" applyProtection="false">
      <alignment horizontal="left" vertical="center" textRotation="0" wrapText="false" indent="1" shrinkToFit="false"/>
      <protection locked="true" hidden="false"/>
    </xf>
    <xf numFmtId="165" fontId="103" fillId="5" borderId="0" xfId="0" applyFont="true" applyBorder="true" applyAlignment="true" applyProtection="false">
      <alignment horizontal="right" vertical="center" textRotation="0" wrapText="false" indent="1" shrinkToFit="false"/>
      <protection locked="true" hidden="false"/>
    </xf>
    <xf numFmtId="164" fontId="131" fillId="5" borderId="0" xfId="0" applyFont="true" applyBorder="true" applyAlignment="true" applyProtection="false">
      <alignment horizontal="left" vertical="center" textRotation="0" wrapText="false" indent="1" shrinkToFit="false"/>
      <protection locked="true" hidden="false"/>
    </xf>
    <xf numFmtId="164" fontId="39" fillId="5" borderId="0"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true" applyProtection="false">
      <alignment horizontal="general" vertical="top" textRotation="0" wrapText="true" indent="0" shrinkToFit="false"/>
      <protection locked="true" hidden="false"/>
    </xf>
    <xf numFmtId="164" fontId="4" fillId="3" borderId="0" xfId="0" applyFont="true" applyBorder="true" applyAlignment="true" applyProtection="false">
      <alignment horizontal="left" vertical="center" textRotation="0" wrapText="false" indent="1" shrinkToFit="false"/>
      <protection locked="true" hidden="false"/>
    </xf>
    <xf numFmtId="165" fontId="14" fillId="3" borderId="0" xfId="0" applyFont="true" applyBorder="true" applyAlignment="true" applyProtection="false">
      <alignment horizontal="right" vertical="center" textRotation="0" wrapText="false" indent="1" shrinkToFit="false"/>
      <protection locked="true" hidden="false"/>
    </xf>
    <xf numFmtId="164" fontId="4" fillId="3" borderId="0"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8" fontId="132" fillId="3" borderId="0" xfId="0" applyFont="true" applyBorder="false" applyAlignment="true" applyProtection="false">
      <alignment horizontal="left" vertical="top" textRotation="0" wrapText="true" indent="0" shrinkToFit="false"/>
      <protection locked="true" hidden="false"/>
    </xf>
    <xf numFmtId="164" fontId="24" fillId="5" borderId="0" xfId="0" applyFont="true" applyBorder="true" applyAlignment="true" applyProtection="false">
      <alignment horizontal="left" vertical="top" textRotation="0" wrapText="true" indent="1" shrinkToFit="false"/>
      <protection locked="true" hidden="false"/>
    </xf>
    <xf numFmtId="164" fontId="101" fillId="21" borderId="0" xfId="0" applyFont="true" applyBorder="true" applyAlignment="true" applyProtection="false">
      <alignment horizontal="left" vertical="top" textRotation="0" wrapText="true" indent="1" shrinkToFit="false"/>
      <protection locked="true" hidden="false"/>
    </xf>
    <xf numFmtId="167" fontId="27" fillId="31" borderId="0" xfId="0" applyFont="true" applyBorder="false" applyAlignment="true" applyProtection="false">
      <alignment horizontal="right" vertical="center" textRotation="0" wrapText="false" indent="1" shrinkToFit="false"/>
      <protection locked="true" hidden="false"/>
    </xf>
    <xf numFmtId="170" fontId="27" fillId="31" borderId="0" xfId="0" applyFont="true" applyBorder="false" applyAlignment="true" applyProtection="false">
      <alignment horizontal="center" vertical="center" textRotation="0" wrapText="false" indent="0" shrinkToFit="false"/>
      <protection locked="true" hidden="false"/>
    </xf>
    <xf numFmtId="167" fontId="26" fillId="12" borderId="0" xfId="0" applyFont="true" applyBorder="false" applyAlignment="true" applyProtection="false">
      <alignment horizontal="right" vertical="center" textRotation="0" wrapText="false" indent="1"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7" fontId="25" fillId="4" borderId="0" xfId="0" applyFont="true" applyBorder="false" applyAlignment="true" applyProtection="false">
      <alignment horizontal="right" vertical="center" textRotation="0" wrapText="false" indent="1" shrinkToFit="false"/>
      <protection locked="true" hidden="false"/>
    </xf>
    <xf numFmtId="164" fontId="0" fillId="4" borderId="0" xfId="0" applyFont="false" applyBorder="false" applyAlignment="true" applyProtection="false">
      <alignment horizontal="general" vertical="top" textRotation="0" wrapText="true" indent="0" shrinkToFit="false"/>
      <protection locked="true" hidden="false"/>
    </xf>
    <xf numFmtId="166" fontId="27" fillId="31" borderId="0" xfId="0" applyFont="true" applyBorder="false" applyAlignment="true" applyProtection="false">
      <alignment horizontal="center" vertical="center" textRotation="0" wrapText="false" indent="0" shrinkToFit="false"/>
      <protection locked="true" hidden="false"/>
    </xf>
    <xf numFmtId="164" fontId="39" fillId="0" borderId="0" xfId="0" applyFont="true" applyBorder="false" applyAlignment="true" applyProtection="false">
      <alignment horizontal="left" vertical="center" textRotation="0" wrapText="true" indent="1" shrinkToFit="false"/>
      <protection locked="true" hidden="false"/>
    </xf>
    <xf numFmtId="166" fontId="25" fillId="4" borderId="0" xfId="0" applyFont="true" applyBorder="false" applyAlignment="true" applyProtection="false">
      <alignment horizontal="center" vertical="center" textRotation="0" wrapText="false" indent="0" shrinkToFit="false"/>
      <protection locked="true" hidden="false"/>
    </xf>
    <xf numFmtId="164" fontId="96" fillId="4" borderId="0" xfId="0" applyFont="true" applyBorder="false" applyAlignment="true" applyProtection="false">
      <alignment horizontal="center" vertical="center" textRotation="0" wrapText="false" indent="0" shrinkToFit="false"/>
      <protection locked="true" hidden="false"/>
    </xf>
    <xf numFmtId="167" fontId="27" fillId="12" borderId="0" xfId="0" applyFont="true" applyBorder="false" applyAlignment="true" applyProtection="false">
      <alignment horizontal="right" vertical="center" textRotation="0" wrapText="false" indent="1" shrinkToFit="false"/>
      <protection locked="true" hidden="false"/>
    </xf>
    <xf numFmtId="166" fontId="27" fillId="12" borderId="0" xfId="0" applyFont="true" applyBorder="false" applyAlignment="true" applyProtection="false">
      <alignment horizontal="center" vertical="center" textRotation="0" wrapText="false" indent="0" shrinkToFit="false"/>
      <protection locked="true" hidden="false"/>
    </xf>
    <xf numFmtId="181" fontId="27" fillId="12" borderId="0" xfId="0" applyFont="true" applyBorder="false" applyAlignment="true" applyProtection="false">
      <alignment horizontal="right" vertical="center" textRotation="0" wrapText="false" indent="1" shrinkToFit="false"/>
      <protection locked="true" hidden="false"/>
    </xf>
    <xf numFmtId="165" fontId="26" fillId="12" borderId="0" xfId="0" applyFont="true" applyBorder="false" applyAlignment="true" applyProtection="false">
      <alignment horizontal="right" vertical="center" textRotation="0" wrapText="false" indent="1" shrinkToFit="false"/>
      <protection locked="true" hidden="false"/>
    </xf>
    <xf numFmtId="165" fontId="107" fillId="0" borderId="0" xfId="0" applyFont="true" applyBorder="false" applyAlignment="true" applyProtection="false">
      <alignment horizontal="right" vertical="top" textRotation="0" wrapText="true" indent="1" shrinkToFit="false"/>
      <protection locked="true" hidden="false"/>
    </xf>
    <xf numFmtId="165" fontId="25" fillId="4" borderId="0" xfId="0" applyFont="true" applyBorder="false" applyAlignment="true" applyProtection="false">
      <alignment horizontal="right" vertical="top" textRotation="0" wrapText="true" indent="1" shrinkToFit="false"/>
      <protection locked="true" hidden="false"/>
    </xf>
    <xf numFmtId="165" fontId="27" fillId="12" borderId="0" xfId="0" applyFont="true" applyBorder="false" applyAlignment="true" applyProtection="false">
      <alignment horizontal="right" vertical="center" textRotation="0" wrapText="false" indent="1" shrinkToFit="false"/>
      <protection locked="true" hidden="false"/>
    </xf>
    <xf numFmtId="196" fontId="27" fillId="0" borderId="0" xfId="0" applyFont="true" applyBorder="false" applyAlignment="true" applyProtection="false">
      <alignment horizontal="right" vertical="center" textRotation="0" wrapText="false" indent="1" shrinkToFit="false"/>
      <protection locked="true" hidden="false"/>
    </xf>
    <xf numFmtId="168" fontId="96" fillId="0" borderId="0" xfId="0" applyFont="true" applyBorder="false" applyAlignment="true" applyProtection="false">
      <alignment horizontal="center" vertical="top" textRotation="0" wrapText="true" indent="0" shrinkToFit="false"/>
      <protection locked="true" hidden="false"/>
    </xf>
    <xf numFmtId="196" fontId="25" fillId="4" borderId="0" xfId="0" applyFont="true" applyBorder="false" applyAlignment="true" applyProtection="false">
      <alignment horizontal="right" vertical="center" textRotation="0" wrapText="false" indent="1" shrinkToFit="false"/>
      <protection locked="true" hidden="false"/>
    </xf>
    <xf numFmtId="164" fontId="47" fillId="4" borderId="0" xfId="0" applyFont="true" applyBorder="false" applyAlignment="true" applyProtection="false">
      <alignment horizontal="left" vertical="center" textRotation="0" wrapText="false" indent="1" shrinkToFit="false"/>
      <protection locked="true" hidden="false"/>
    </xf>
    <xf numFmtId="164" fontId="133" fillId="0" borderId="0" xfId="0" applyFont="true" applyBorder="false" applyAlignment="true" applyProtection="false">
      <alignment horizontal="left" vertical="center" textRotation="0" wrapText="false" indent="1" shrinkToFit="false"/>
      <protection locked="true" hidden="false"/>
    </xf>
    <xf numFmtId="165" fontId="27" fillId="5" borderId="0" xfId="0" applyFont="true" applyBorder="false" applyAlignment="true" applyProtection="false">
      <alignment horizontal="right" vertical="center" textRotation="0" wrapText="false" indent="1" shrinkToFit="false"/>
      <protection locked="true" hidden="false"/>
    </xf>
    <xf numFmtId="164" fontId="39" fillId="5" borderId="0" xfId="0" applyFont="true" applyBorder="false" applyAlignment="true" applyProtection="false">
      <alignment horizontal="right" vertical="center" textRotation="0" wrapText="false" indent="1" shrinkToFit="false"/>
      <protection locked="true" hidden="false"/>
    </xf>
    <xf numFmtId="164" fontId="25" fillId="20" borderId="0" xfId="0" applyFont="true" applyBorder="true" applyAlignment="true" applyProtection="false">
      <alignment horizontal="left" vertical="top" textRotation="0" wrapText="true" indent="0" shrinkToFit="false"/>
      <protection locked="true" hidden="false"/>
    </xf>
    <xf numFmtId="164" fontId="102" fillId="21" borderId="3" xfId="0" applyFont="true" applyBorder="true" applyAlignment="true" applyProtection="false">
      <alignment horizontal="left" vertical="top" textRotation="0" wrapText="true" indent="0" shrinkToFit="false"/>
      <protection locked="true" hidden="false"/>
    </xf>
    <xf numFmtId="164" fontId="91" fillId="0" borderId="0" xfId="0" applyFont="true" applyBorder="false" applyAlignment="true" applyProtection="false">
      <alignment horizontal="left" vertical="center" textRotation="0" wrapText="false" indent="1" shrinkToFit="false"/>
      <protection locked="true" hidden="false"/>
    </xf>
    <xf numFmtId="167" fontId="69" fillId="0" borderId="0" xfId="0" applyFont="true" applyBorder="false" applyAlignment="false" applyProtection="false">
      <alignment horizontal="general" vertical="bottom" textRotation="0" wrapText="false" indent="0" shrinkToFit="false"/>
      <protection locked="true" hidden="false"/>
    </xf>
    <xf numFmtId="164" fontId="69" fillId="0" borderId="0" xfId="0" applyFont="true" applyBorder="false" applyAlignment="false" applyProtection="false">
      <alignment horizontal="general" vertical="bottom" textRotation="0" wrapText="false" indent="0" shrinkToFit="false"/>
      <protection locked="true" hidden="false"/>
    </xf>
    <xf numFmtId="190" fontId="61" fillId="0" borderId="0" xfId="0" applyFont="true" applyBorder="false" applyAlignment="false" applyProtection="false">
      <alignment horizontal="general" vertical="bottom" textRotation="0" wrapText="false" indent="0" shrinkToFit="false"/>
      <protection locked="true" hidden="false"/>
    </xf>
    <xf numFmtId="164" fontId="47" fillId="4" borderId="7" xfId="0" applyFont="true" applyBorder="true" applyAlignment="true" applyProtection="false">
      <alignment horizontal="center" vertical="center" textRotation="0" wrapText="true" indent="0" shrinkToFit="false"/>
      <protection locked="true" hidden="false"/>
    </xf>
    <xf numFmtId="167" fontId="134" fillId="0" borderId="0" xfId="0" applyFont="true" applyBorder="false" applyAlignment="true" applyProtection="false">
      <alignment horizontal="right" vertical="center" textRotation="0" wrapText="false" indent="1" shrinkToFit="false"/>
      <protection locked="true" hidden="false"/>
    </xf>
    <xf numFmtId="167" fontId="107" fillId="0" borderId="0" xfId="0" applyFont="true" applyBorder="false" applyAlignment="true" applyProtection="false">
      <alignment horizontal="right" vertical="center" textRotation="0" wrapText="false" indent="1" shrinkToFit="false"/>
      <protection locked="true" hidden="false"/>
    </xf>
    <xf numFmtId="174" fontId="133" fillId="0" borderId="0" xfId="0" applyFont="true" applyBorder="false" applyAlignment="true" applyProtection="false">
      <alignment horizontal="center" vertical="center" textRotation="0" wrapText="false" indent="0" shrinkToFit="false"/>
      <protection locked="true" hidden="false"/>
    </xf>
    <xf numFmtId="164" fontId="39" fillId="0" borderId="0" xfId="0" applyFont="true" applyBorder="false" applyAlignment="true" applyProtection="false">
      <alignment horizontal="left" vertical="center" textRotation="0" wrapText="false" indent="1" shrinkToFit="false"/>
      <protection locked="true" hidden="false"/>
    </xf>
    <xf numFmtId="182" fontId="27" fillId="0" borderId="0" xfId="0" applyFont="true" applyBorder="false" applyAlignment="true" applyProtection="false">
      <alignment horizontal="right" vertical="center" textRotation="0" wrapText="false" indent="1" shrinkToFit="false"/>
      <protection locked="true" hidden="false"/>
    </xf>
    <xf numFmtId="167" fontId="26" fillId="0" borderId="0" xfId="0" applyFont="true" applyBorder="false" applyAlignment="true" applyProtection="false">
      <alignment horizontal="right" vertical="center" textRotation="0" wrapText="false" indent="1"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7" fillId="35" borderId="8" xfId="0" applyFont="true" applyBorder="true" applyAlignment="true" applyProtection="false">
      <alignment horizontal="left" vertical="top" textRotation="0" wrapText="true" indent="0"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5" fontId="134" fillId="0" borderId="0" xfId="0" applyFont="true" applyBorder="false" applyAlignment="true" applyProtection="false">
      <alignment horizontal="right" vertical="center" textRotation="0" wrapText="false" indent="1" shrinkToFit="false"/>
      <protection locked="true" hidden="false"/>
    </xf>
    <xf numFmtId="166" fontId="107" fillId="0" borderId="0" xfId="0" applyFont="true" applyBorder="false" applyAlignment="true" applyProtection="false">
      <alignment horizontal="right" vertical="top" textRotation="0" wrapText="true" indent="1" shrinkToFit="false"/>
      <protection locked="true" hidden="false"/>
    </xf>
    <xf numFmtId="164" fontId="39" fillId="0" borderId="0" xfId="0" applyFont="true" applyBorder="false" applyAlignment="true" applyProtection="false">
      <alignment horizontal="right" vertical="center" textRotation="0" wrapText="false" indent="1" shrinkToFit="false"/>
      <protection locked="true" hidden="false"/>
    </xf>
    <xf numFmtId="164" fontId="37" fillId="5" borderId="8" xfId="0" applyFont="true" applyBorder="true" applyAlignment="true" applyProtection="false">
      <alignment horizontal="left" vertical="top" textRotation="0" wrapText="true" indent="0" shrinkToFit="false"/>
      <protection locked="true" hidden="false"/>
    </xf>
    <xf numFmtId="164" fontId="25" fillId="2" borderId="0" xfId="0" applyFont="true" applyBorder="tru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center" vertical="top" textRotation="0" wrapText="true" indent="0" shrinkToFit="false"/>
      <protection locked="true" hidden="false"/>
    </xf>
    <xf numFmtId="165" fontId="135" fillId="12" borderId="0" xfId="0" applyFont="true" applyBorder="false" applyAlignment="true" applyProtection="false">
      <alignment horizontal="right" vertical="center" textRotation="0" wrapText="false" indent="1" shrinkToFit="false"/>
      <protection locked="true" hidden="false"/>
    </xf>
    <xf numFmtId="165" fontId="9" fillId="4" borderId="0" xfId="0" applyFont="true" applyBorder="false" applyAlignment="true" applyProtection="false">
      <alignment horizontal="right" vertical="center" textRotation="0" wrapText="false" indent="1" shrinkToFit="false"/>
      <protection locked="true" hidden="false"/>
    </xf>
    <xf numFmtId="165" fontId="96" fillId="0" borderId="0" xfId="0" applyFont="true" applyBorder="false" applyAlignment="true" applyProtection="false">
      <alignment horizontal="right" vertical="center" textRotation="0" wrapText="false" indent="1" shrinkToFit="false"/>
      <protection locked="true" hidden="false"/>
    </xf>
    <xf numFmtId="164" fontId="136" fillId="0" borderId="0" xfId="0" applyFont="true" applyBorder="false" applyAlignment="true" applyProtection="false">
      <alignment horizontal="center" vertical="top" textRotation="0" wrapText="true" indent="0" shrinkToFit="false"/>
      <protection locked="true" hidden="false"/>
    </xf>
    <xf numFmtId="165" fontId="9" fillId="9" borderId="0" xfId="0" applyFont="true" applyBorder="false" applyAlignment="true" applyProtection="false">
      <alignment horizontal="right" vertical="center" textRotation="0" wrapText="false" indent="1" shrinkToFit="false"/>
      <protection locked="true" hidden="false"/>
    </xf>
    <xf numFmtId="188" fontId="137" fillId="0" borderId="0" xfId="0" applyFont="true" applyBorder="false" applyAlignment="true" applyProtection="false">
      <alignment horizontal="center" vertical="top" textRotation="0" wrapText="true" indent="0" shrinkToFit="false"/>
      <protection locked="true" hidden="false"/>
    </xf>
    <xf numFmtId="164" fontId="27" fillId="5" borderId="2" xfId="0" applyFont="true" applyBorder="true" applyAlignment="true" applyProtection="false">
      <alignment horizontal="left" vertical="top" textRotation="0" wrapText="true" indent="1" shrinkToFit="false"/>
      <protection locked="true" hidden="false"/>
    </xf>
    <xf numFmtId="164" fontId="138" fillId="0" borderId="0" xfId="0" applyFont="true" applyBorder="false" applyAlignment="false" applyProtection="false">
      <alignment horizontal="general" vertical="bottom" textRotation="0" wrapText="false" indent="0" shrinkToFit="false"/>
      <protection locked="true" hidden="false"/>
    </xf>
    <xf numFmtId="164" fontId="139" fillId="0" borderId="0" xfId="0" applyFont="true" applyBorder="false" applyAlignment="true" applyProtection="false">
      <alignment horizontal="general" vertical="top" textRotation="0" wrapText="true" indent="0" shrinkToFit="false"/>
      <protection locked="true" hidden="false"/>
    </xf>
    <xf numFmtId="164" fontId="59" fillId="26" borderId="0" xfId="0" applyFont="true" applyBorder="false" applyAlignment="false" applyProtection="false">
      <alignment horizontal="general" vertical="bottom" textRotation="0" wrapText="false" indent="0" shrinkToFit="false"/>
      <protection locked="true" hidden="false"/>
    </xf>
    <xf numFmtId="165" fontId="102" fillId="12" borderId="0" xfId="0" applyFont="true" applyBorder="false" applyAlignment="true" applyProtection="false">
      <alignment horizontal="right" vertical="center" textRotation="0" wrapText="false" indent="1" shrinkToFit="false"/>
      <protection locked="true" hidden="false"/>
    </xf>
    <xf numFmtId="165" fontId="108" fillId="12" borderId="0" xfId="0" applyFont="true" applyBorder="false" applyAlignment="true" applyProtection="false">
      <alignment horizontal="right" vertical="center" textRotation="0" wrapText="false" indent="1" shrinkToFit="false"/>
      <protection locked="true" hidden="false"/>
    </xf>
    <xf numFmtId="165" fontId="107" fillId="5" borderId="0" xfId="0" applyFont="true" applyBorder="false" applyAlignment="true" applyProtection="false">
      <alignment horizontal="right" vertical="center" textRotation="0" wrapText="false" indent="1" shrinkToFit="false"/>
      <protection locked="true" hidden="false"/>
    </xf>
    <xf numFmtId="165" fontId="136" fillId="12" borderId="0" xfId="0" applyFont="true" applyBorder="false" applyAlignment="true" applyProtection="false">
      <alignment horizontal="right" vertical="center" textRotation="0" wrapText="false" indent="1" shrinkToFit="false"/>
      <protection locked="true" hidden="false"/>
    </xf>
    <xf numFmtId="165" fontId="0" fillId="33" borderId="0" xfId="0" applyFont="fals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6" fontId="39" fillId="0" borderId="0" xfId="0" applyFont="true" applyBorder="false" applyAlignment="true" applyProtection="false">
      <alignment horizontal="right" vertical="center" textRotation="0" wrapText="false" indent="1" shrinkToFit="false"/>
      <protection locked="true" hidden="false"/>
    </xf>
    <xf numFmtId="166" fontId="107" fillId="0" borderId="0" xfId="0" applyFont="true" applyBorder="false" applyAlignment="true" applyProtection="false">
      <alignment horizontal="right" vertical="center" textRotation="0" wrapText="false" indent="1" shrinkToFit="false"/>
      <protection locked="true" hidden="false"/>
    </xf>
    <xf numFmtId="164" fontId="106" fillId="5" borderId="9" xfId="0" applyFont="true" applyBorder="true" applyAlignment="true" applyProtection="false">
      <alignment horizontal="left" vertical="top" textRotation="0" wrapText="true" indent="0" shrinkToFit="false"/>
      <protection locked="true" hidden="false"/>
    </xf>
    <xf numFmtId="166" fontId="24" fillId="5" borderId="0" xfId="0" applyFont="true" applyBorder="false" applyAlignment="true" applyProtection="false">
      <alignment horizontal="right" vertical="center" textRotation="0" wrapText="false" indent="1" shrinkToFit="false"/>
      <protection locked="true" hidden="false"/>
    </xf>
    <xf numFmtId="165" fontId="133" fillId="12" borderId="0" xfId="0" applyFont="true" applyBorder="false" applyAlignment="true" applyProtection="false">
      <alignment horizontal="right" vertical="center" textRotation="0" wrapText="false" indent="1" shrinkToFit="false"/>
      <protection locked="true" hidden="false"/>
    </xf>
    <xf numFmtId="165" fontId="102" fillId="5" borderId="0" xfId="0" applyFont="true" applyBorder="false" applyAlignment="true" applyProtection="false">
      <alignment horizontal="right" vertical="center" textRotation="0" wrapText="false" indent="1" shrinkToFit="false"/>
      <protection locked="true" hidden="false"/>
    </xf>
    <xf numFmtId="165" fontId="100" fillId="12" borderId="0" xfId="0" applyFont="true" applyBorder="false" applyAlignment="true" applyProtection="false">
      <alignment horizontal="right" vertical="center" textRotation="0" wrapText="false" indent="1" shrinkToFit="false"/>
      <protection locked="true" hidden="false"/>
    </xf>
    <xf numFmtId="166" fontId="133" fillId="0" borderId="0" xfId="0" applyFont="true" applyBorder="false" applyAlignment="true" applyProtection="false">
      <alignment horizontal="right" vertical="center" textRotation="0" wrapText="false" indent="1" shrinkToFit="false"/>
      <protection locked="true" hidden="false"/>
    </xf>
    <xf numFmtId="166" fontId="25" fillId="8" borderId="0" xfId="0" applyFont="true" applyBorder="false" applyAlignment="true" applyProtection="false">
      <alignment horizontal="right" vertical="center" textRotation="0" wrapText="false" indent="1" shrinkToFit="false"/>
      <protection locked="true" hidden="false"/>
    </xf>
    <xf numFmtId="164" fontId="39" fillId="0" borderId="0" xfId="0" applyFont="true" applyBorder="true" applyAlignment="true" applyProtection="false">
      <alignment horizontal="left" vertical="top" textRotation="0" wrapText="true" indent="0" shrinkToFit="false"/>
      <protection locked="true" hidden="false"/>
    </xf>
    <xf numFmtId="174" fontId="24" fillId="5" borderId="0" xfId="0" applyFont="true" applyBorder="false" applyAlignment="true" applyProtection="false">
      <alignment horizontal="center" vertical="center" textRotation="0" wrapText="false" indent="0" shrinkToFit="false"/>
      <protection locked="true" hidden="false"/>
    </xf>
    <xf numFmtId="164" fontId="113" fillId="21" borderId="3" xfId="0" applyFont="true" applyBorder="true" applyAlignment="true" applyProtection="false">
      <alignment horizontal="left" vertical="top" textRotation="0" wrapText="true" indent="0" shrinkToFit="false"/>
      <protection locked="true" hidden="false"/>
    </xf>
    <xf numFmtId="165" fontId="140" fillId="31" borderId="0" xfId="0" applyFont="true" applyBorder="false" applyAlignment="true" applyProtection="false">
      <alignment horizontal="right" vertical="center" textRotation="0" wrapText="false" indent="1" shrinkToFit="false"/>
      <protection locked="true" hidden="false"/>
    </xf>
    <xf numFmtId="165" fontId="26" fillId="0" borderId="0" xfId="0" applyFont="true" applyBorder="false" applyAlignment="true" applyProtection="false">
      <alignment horizontal="right" vertical="center" textRotation="0" wrapText="false" indent="1" shrinkToFit="false"/>
      <protection locked="true" hidden="false"/>
    </xf>
    <xf numFmtId="165" fontId="26" fillId="31" borderId="0" xfId="0" applyFont="true" applyBorder="false" applyAlignment="true" applyProtection="false">
      <alignment horizontal="right" vertical="center" textRotation="0" wrapText="false" indent="1" shrinkToFit="false"/>
      <protection locked="true" hidden="false"/>
    </xf>
    <xf numFmtId="165" fontId="94" fillId="4" borderId="0" xfId="0" applyFont="true" applyBorder="false" applyAlignment="true" applyProtection="false">
      <alignment horizontal="right" vertical="center" textRotation="0" wrapText="false" indent="1" shrinkToFit="false"/>
      <protection locked="true" hidden="false"/>
    </xf>
    <xf numFmtId="164" fontId="25" fillId="8" borderId="0" xfId="0" applyFont="true" applyBorder="false" applyAlignment="true" applyProtection="false">
      <alignment horizontal="left" vertical="top" textRotation="0" wrapText="true" indent="0" shrinkToFit="false"/>
      <protection locked="true" hidden="false"/>
    </xf>
    <xf numFmtId="179" fontId="12" fillId="12" borderId="0" xfId="0" applyFont="true" applyBorder="false" applyAlignment="true" applyProtection="false">
      <alignment horizontal="right" vertical="center" textRotation="0" wrapText="false" indent="1" shrinkToFit="false"/>
      <protection locked="true" hidden="false"/>
    </xf>
    <xf numFmtId="165" fontId="141" fillId="4" borderId="0" xfId="0" applyFont="true" applyBorder="false" applyAlignment="true" applyProtection="false">
      <alignment horizontal="right" vertical="center" textRotation="0" wrapText="false" indent="1" shrinkToFit="false"/>
      <protection locked="true" hidden="false"/>
    </xf>
    <xf numFmtId="166" fontId="12" fillId="0" borderId="0" xfId="0" applyFont="true" applyBorder="false" applyAlignment="true" applyProtection="false">
      <alignment horizontal="right" vertical="center" textRotation="0" wrapText="false" indent="1" shrinkToFit="false"/>
      <protection locked="true" hidden="false"/>
    </xf>
    <xf numFmtId="164" fontId="0" fillId="0" borderId="10" xfId="0" applyFont="false" applyBorder="true" applyAlignment="true" applyProtection="false">
      <alignment horizontal="general" vertical="top" textRotation="0" wrapText="true" indent="0" shrinkToFit="false"/>
      <protection locked="true" hidden="false"/>
    </xf>
    <xf numFmtId="164" fontId="142" fillId="0" borderId="0" xfId="0" applyFont="true" applyBorder="false" applyAlignment="true" applyProtection="false">
      <alignment horizontal="general" vertical="top" textRotation="0" wrapText="true" indent="0" shrinkToFit="false"/>
      <protection locked="true" hidden="false"/>
    </xf>
    <xf numFmtId="164" fontId="78" fillId="23" borderId="0" xfId="0" applyFont="true" applyBorder="false" applyAlignment="true" applyProtection="false">
      <alignment horizontal="general" vertical="top" textRotation="0" wrapText="true" indent="0" shrinkToFit="false"/>
      <protection locked="true" hidden="false"/>
    </xf>
    <xf numFmtId="164" fontId="64" fillId="36" borderId="0" xfId="0" applyFont="true" applyBorder="false" applyAlignment="true" applyProtection="false">
      <alignment horizontal="general" vertical="top" textRotation="0" wrapText="true" indent="0" shrinkToFit="false"/>
      <protection locked="true" hidden="false"/>
    </xf>
    <xf numFmtId="164" fontId="64" fillId="36" borderId="0" xfId="0" applyFont="true" applyBorder="false" applyAlignment="false" applyProtection="false">
      <alignment horizontal="general" vertical="bottom" textRotation="0" wrapText="false" indent="0" shrinkToFit="false"/>
      <protection locked="true" hidden="false"/>
    </xf>
    <xf numFmtId="164" fontId="64" fillId="37" borderId="0" xfId="0" applyFont="true" applyBorder="false" applyAlignment="true" applyProtection="false">
      <alignment horizontal="general" vertical="top" textRotation="0" wrapText="true" indent="0" shrinkToFit="false"/>
      <protection locked="true" hidden="false"/>
    </xf>
    <xf numFmtId="165" fontId="64" fillId="37" borderId="0" xfId="0" applyFont="true" applyBorder="false" applyAlignment="false" applyProtection="false">
      <alignment horizontal="general" vertical="bottom" textRotation="0" wrapText="false" indent="0" shrinkToFit="false"/>
      <protection locked="true" hidden="false"/>
    </xf>
    <xf numFmtId="166" fontId="64" fillId="37" borderId="0" xfId="0" applyFont="true" applyBorder="false" applyAlignment="true" applyProtection="false">
      <alignment horizontal="general" vertical="top" textRotation="0" wrapText="true" indent="0" shrinkToFit="false"/>
      <protection locked="true" hidden="false"/>
    </xf>
    <xf numFmtId="166" fontId="64" fillId="37" borderId="0" xfId="0" applyFont="true" applyBorder="false" applyAlignment="false" applyProtection="false">
      <alignment horizontal="general" vertical="bottom" textRotation="0" wrapText="false" indent="0" shrinkToFit="false"/>
      <protection locked="true" hidden="false"/>
    </xf>
    <xf numFmtId="164" fontId="64" fillId="37" borderId="0" xfId="0" applyFont="true" applyBorder="false" applyAlignment="false" applyProtection="false">
      <alignment horizontal="general" vertical="bottom" textRotation="0" wrapText="false" indent="0" shrinkToFit="false"/>
      <protection locked="true" hidden="false"/>
    </xf>
    <xf numFmtId="164" fontId="78" fillId="38" borderId="0" xfId="0" applyFont="true" applyBorder="false" applyAlignment="true" applyProtection="false">
      <alignment horizontal="general" vertical="top" textRotation="0" wrapText="true" indent="0" shrinkToFit="false"/>
      <protection locked="true" hidden="false"/>
    </xf>
    <xf numFmtId="164" fontId="78" fillId="38" borderId="0" xfId="0" applyFont="true" applyBorder="false" applyAlignment="false" applyProtection="false">
      <alignment horizontal="general" vertical="bottom" textRotation="0" wrapText="false" indent="0" shrinkToFit="false"/>
      <protection locked="true" hidden="false"/>
    </xf>
    <xf numFmtId="165" fontId="78" fillId="38" borderId="0" xfId="0" applyFont="true" applyBorder="false" applyAlignment="false" applyProtection="false">
      <alignment horizontal="general" vertical="bottom" textRotation="0" wrapText="false" indent="0" shrinkToFit="false"/>
      <protection locked="true" hidden="false"/>
    </xf>
    <xf numFmtId="165" fontId="64" fillId="37" borderId="0" xfId="0" applyFont="true" applyBorder="false" applyAlignment="true" applyProtection="false">
      <alignment horizontal="general" vertical="top" textRotation="0" wrapText="true" indent="0" shrinkToFit="false"/>
      <protection locked="true" hidden="false"/>
    </xf>
    <xf numFmtId="164" fontId="46" fillId="0" borderId="0" xfId="0" applyFont="true" applyBorder="false" applyAlignment="true" applyProtection="false">
      <alignment horizontal="general" vertical="top" textRotation="0" wrapText="true" indent="0" shrinkToFit="false"/>
      <protection locked="true" hidden="false"/>
    </xf>
    <xf numFmtId="164" fontId="9" fillId="4" borderId="0" xfId="0" applyFont="true" applyBorder="true" applyAlignment="true" applyProtection="false">
      <alignment horizontal="left" vertical="center" textRotation="0" wrapText="false" indent="1" shrinkToFit="false"/>
      <protection locked="true" hidden="false"/>
    </xf>
    <xf numFmtId="164" fontId="36" fillId="5" borderId="0" xfId="0" applyFont="true" applyBorder="true" applyAlignment="true" applyProtection="false">
      <alignment horizontal="left" vertical="center" textRotation="0" wrapText="false" indent="1" shrinkToFit="false"/>
      <protection locked="true" hidden="false"/>
    </xf>
    <xf numFmtId="179" fontId="47" fillId="4" borderId="0" xfId="0" applyFont="true" applyBorder="false" applyAlignment="true" applyProtection="false">
      <alignment horizontal="right" vertical="center" textRotation="0" wrapText="false" indent="1" shrinkToFit="false"/>
      <protection locked="true" hidden="false"/>
    </xf>
    <xf numFmtId="164" fontId="102" fillId="0" borderId="0" xfId="0" applyFont="true" applyBorder="false" applyAlignment="true" applyProtection="false">
      <alignment horizontal="left" vertical="center" textRotation="0" wrapText="false" indent="1" shrinkToFit="false"/>
      <protection locked="true" hidden="false"/>
    </xf>
    <xf numFmtId="164" fontId="26" fillId="12" borderId="0" xfId="0" applyFont="true" applyBorder="false" applyAlignment="true" applyProtection="false">
      <alignment horizontal="left" vertical="center" textRotation="0" wrapText="false" indent="1" shrinkToFit="false"/>
      <protection locked="true" hidden="false"/>
    </xf>
    <xf numFmtId="179" fontId="26" fillId="12" borderId="0" xfId="0" applyFont="true" applyBorder="false" applyAlignment="true" applyProtection="false">
      <alignment horizontal="right" vertical="center" textRotation="0" wrapText="fals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6" fontId="24" fillId="0" borderId="0" xfId="0" applyFont="true" applyBorder="false" applyAlignment="true" applyProtection="false">
      <alignment horizontal="right" vertical="center" textRotation="0" wrapText="false" indent="1" shrinkToFit="false"/>
      <protection locked="true" hidden="false"/>
    </xf>
    <xf numFmtId="179" fontId="26" fillId="0" borderId="0" xfId="0" applyFont="true" applyBorder="false" applyAlignment="true" applyProtection="false">
      <alignment horizontal="right" vertical="center" textRotation="0" wrapText="false" indent="1" shrinkToFit="false"/>
      <protection locked="true" hidden="false"/>
    </xf>
    <xf numFmtId="164" fontId="25" fillId="4" borderId="0" xfId="0" applyFont="true" applyBorder="false" applyAlignment="true" applyProtection="false">
      <alignment horizontal="center" vertical="center" textRotation="0" wrapText="false" indent="0" shrinkToFit="false"/>
      <protection locked="true" hidden="false"/>
    </xf>
    <xf numFmtId="164" fontId="36" fillId="5" borderId="0" xfId="0" applyFont="true" applyBorder="true" applyAlignment="true" applyProtection="false">
      <alignment horizontal="left" vertical="top" textRotation="0" wrapText="true" indent="0" shrinkToFit="false"/>
      <protection locked="true" hidden="false"/>
    </xf>
    <xf numFmtId="164" fontId="102" fillId="0" borderId="0" xfId="0" applyFont="true" applyBorder="false" applyAlignment="true" applyProtection="false">
      <alignment horizontal="left" vertical="top" textRotation="0" wrapText="true" indent="1" shrinkToFit="false"/>
      <protection locked="true" hidden="false"/>
    </xf>
    <xf numFmtId="164" fontId="25" fillId="20" borderId="0" xfId="0" applyFont="true" applyBorder="false" applyAlignment="true" applyProtection="false">
      <alignment horizontal="left" vertical="top" textRotation="0" wrapText="true" indent="0" shrinkToFit="false"/>
      <protection locked="true" hidden="false"/>
    </xf>
    <xf numFmtId="179" fontId="25" fillId="20" borderId="0" xfId="0" applyFont="true" applyBorder="false" applyAlignment="true" applyProtection="false">
      <alignment horizontal="right" vertical="center" textRotation="0" wrapText="false" indent="1" shrinkToFit="false"/>
      <protection locked="true" hidden="false"/>
    </xf>
    <xf numFmtId="164" fontId="36" fillId="12" borderId="0" xfId="0" applyFont="true" applyBorder="false" applyAlignment="true" applyProtection="false">
      <alignment horizontal="left" vertical="top" textRotation="0" wrapText="true" indent="0" shrinkToFit="false"/>
      <protection locked="true" hidden="false"/>
    </xf>
    <xf numFmtId="164" fontId="143" fillId="4" borderId="0" xfId="0" applyFont="true" applyBorder="false" applyAlignment="true" applyProtection="false">
      <alignment horizontal="left" vertical="top" textRotation="0" wrapText="true" indent="0" shrinkToFit="false"/>
      <protection locked="true" hidden="false"/>
    </xf>
    <xf numFmtId="179" fontId="143" fillId="4" borderId="0" xfId="0" applyFont="true" applyBorder="false" applyAlignment="true" applyProtection="false">
      <alignment horizontal="right" vertical="center" textRotation="0" wrapText="false" indent="1" shrinkToFit="false"/>
      <protection locked="true" hidden="false"/>
    </xf>
    <xf numFmtId="164" fontId="36" fillId="12" borderId="0" xfId="0" applyFont="true" applyBorder="false" applyAlignment="true" applyProtection="false">
      <alignment horizontal="left" vertical="top" textRotation="0" wrapText="true" indent="1" shrinkToFit="false"/>
      <protection locked="true" hidden="false"/>
    </xf>
    <xf numFmtId="164" fontId="44" fillId="4" borderId="0" xfId="0" applyFont="true" applyBorder="false" applyAlignment="true" applyProtection="false">
      <alignment horizontal="left" vertical="top" textRotation="0" wrapText="true" indent="1" shrinkToFit="false"/>
      <protection locked="true" hidden="false"/>
    </xf>
    <xf numFmtId="179" fontId="44" fillId="4" borderId="0" xfId="0" applyFont="true" applyBorder="false" applyAlignment="true" applyProtection="false">
      <alignment horizontal="right" vertical="center" textRotation="0" wrapText="false" indent="1" shrinkToFit="false"/>
      <protection locked="true" hidden="false"/>
    </xf>
    <xf numFmtId="165" fontId="108" fillId="0" borderId="0" xfId="0" applyFont="true" applyBorder="false" applyAlignment="true" applyProtection="false">
      <alignment horizontal="right" vertical="center" textRotation="0" wrapText="false" indent="1" shrinkToFit="false"/>
      <protection locked="true" hidden="false"/>
    </xf>
    <xf numFmtId="164" fontId="143" fillId="4" borderId="0" xfId="0" applyFont="true" applyBorder="false" applyAlignment="true" applyProtection="false">
      <alignment horizontal="left" vertical="top" textRotation="0" wrapText="true" indent="1" shrinkToFit="false"/>
      <protection locked="true" hidden="false"/>
    </xf>
    <xf numFmtId="164" fontId="25" fillId="20" borderId="0" xfId="0" applyFont="true" applyBorder="false" applyAlignment="true" applyProtection="false">
      <alignment horizontal="left" vertical="top" textRotation="0" wrapText="true" indent="1" shrinkToFit="false"/>
      <protection locked="true" hidden="false"/>
    </xf>
    <xf numFmtId="165" fontId="25" fillId="20" borderId="0" xfId="0" applyFont="true" applyBorder="false" applyAlignment="true" applyProtection="false">
      <alignment horizontal="right" vertical="center" textRotation="0" wrapText="false" indent="1" shrinkToFit="false"/>
      <protection locked="true" hidden="false"/>
    </xf>
    <xf numFmtId="164" fontId="25" fillId="9" borderId="0" xfId="0" applyFont="true" applyBorder="false" applyAlignment="true" applyProtection="false">
      <alignment horizontal="left" vertical="top" textRotation="0" wrapText="true" indent="1" shrinkToFit="false"/>
      <protection locked="true" hidden="false"/>
    </xf>
    <xf numFmtId="165" fontId="25" fillId="9" borderId="0" xfId="0" applyFont="true" applyBorder="false" applyAlignment="true" applyProtection="false">
      <alignment horizontal="right" vertical="center" textRotation="0" wrapText="false" indent="1" shrinkToFit="false"/>
      <protection locked="true" hidden="false"/>
    </xf>
    <xf numFmtId="164" fontId="94" fillId="4" borderId="0" xfId="0" applyFont="true" applyBorder="false" applyAlignment="true" applyProtection="false">
      <alignment horizontal="left" vertical="top" textRotation="0" wrapText="true" indent="0" shrinkToFit="false"/>
      <protection locked="true" hidden="false"/>
    </xf>
    <xf numFmtId="179" fontId="24" fillId="0" borderId="0" xfId="0" applyFont="true" applyBorder="false" applyAlignment="true" applyProtection="false">
      <alignment horizontal="right" vertical="center" textRotation="0" wrapText="false" indent="1" shrinkToFit="false"/>
      <protection locked="true" hidden="false"/>
    </xf>
    <xf numFmtId="164" fontId="134" fillId="0" borderId="0" xfId="0" applyFont="true" applyBorder="false" applyAlignment="true" applyProtection="false">
      <alignment horizontal="general" vertical="bottom" textRotation="0" wrapText="false" indent="1" shrinkToFit="false"/>
      <protection locked="true" hidden="false"/>
    </xf>
    <xf numFmtId="165" fontId="13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1" shrinkToFit="false"/>
      <protection locked="true" hidden="false"/>
    </xf>
    <xf numFmtId="165" fontId="144" fillId="0" borderId="0" xfId="0" applyFont="true" applyBorder="false" applyAlignment="false" applyProtection="false">
      <alignment horizontal="general" vertical="bottom" textRotation="0" wrapText="false" indent="0" shrinkToFit="false"/>
      <protection locked="true" hidden="false"/>
    </xf>
    <xf numFmtId="168" fontId="36" fillId="5" borderId="0" xfId="0" applyFont="true" applyBorder="false" applyAlignment="true" applyProtection="false">
      <alignment horizontal="left" vertical="top" textRotation="0" wrapText="true" indent="1" shrinkToFit="false"/>
      <protection locked="true" hidden="false"/>
    </xf>
    <xf numFmtId="164" fontId="134" fillId="0" borderId="0" xfId="0" applyFont="true" applyBorder="false" applyAlignment="true" applyProtection="false">
      <alignment horizontal="general" vertical="top" textRotation="0" wrapText="true" indent="1" shrinkToFit="false"/>
      <protection locked="true" hidden="false"/>
    </xf>
    <xf numFmtId="164" fontId="26" fillId="12" borderId="0" xfId="0" applyFont="true" applyBorder="false" applyAlignment="true" applyProtection="false">
      <alignment horizontal="left" vertical="top" textRotation="0" wrapText="true" indent="1" shrinkToFit="false"/>
      <protection locked="true" hidden="false"/>
    </xf>
    <xf numFmtId="164" fontId="100" fillId="0" borderId="0" xfId="0" applyFont="true" applyBorder="false" applyAlignment="true" applyProtection="false">
      <alignment horizontal="left" vertical="top" textRotation="0" wrapText="true" indent="1" shrinkToFit="false"/>
      <protection locked="true" hidden="false"/>
    </xf>
    <xf numFmtId="179" fontId="100" fillId="0" borderId="0" xfId="0" applyFont="true" applyBorder="false" applyAlignment="true" applyProtection="false">
      <alignment horizontal="right" vertical="center" textRotation="0" wrapText="false" indent="1" shrinkToFit="false"/>
      <protection locked="true" hidden="false"/>
    </xf>
    <xf numFmtId="164" fontId="61" fillId="0" borderId="0" xfId="0" applyFont="true" applyBorder="false" applyAlignment="true" applyProtection="false">
      <alignment horizontal="center" vertical="center" textRotation="0" wrapText="false" indent="0" shrinkToFit="false"/>
      <protection locked="true" hidden="false"/>
    </xf>
    <xf numFmtId="169" fontId="61" fillId="0" borderId="0" xfId="0" applyFont="true" applyBorder="false" applyAlignment="false" applyProtection="false">
      <alignment horizontal="general" vertical="bottom" textRotation="0" wrapText="false" indent="0" shrinkToFit="false"/>
      <protection locked="true" hidden="false"/>
    </xf>
    <xf numFmtId="178" fontId="6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6" fontId="61" fillId="0" borderId="0" xfId="0" applyFont="true" applyBorder="false" applyAlignment="true" applyProtection="false">
      <alignment horizontal="center" vertical="center" textRotation="0" wrapText="false" indent="0" shrinkToFit="false"/>
      <protection locked="true" hidden="false"/>
    </xf>
    <xf numFmtId="197"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center"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64" fillId="2" borderId="0" xfId="0" applyFont="true" applyBorder="true" applyAlignment="true" applyProtection="false">
      <alignment horizontal="left" vertical="top" textRotation="0" wrapText="true" indent="0" shrinkToFit="false"/>
      <protection locked="true" hidden="false"/>
    </xf>
    <xf numFmtId="164" fontId="47" fillId="20" borderId="0" xfId="0" applyFont="true" applyBorder="false" applyAlignment="true" applyProtection="false">
      <alignment horizontal="center" vertical="center" textRotation="0" wrapText="false" indent="0" shrinkToFit="false"/>
      <protection locked="true" hidden="false"/>
    </xf>
    <xf numFmtId="164" fontId="47" fillId="2" borderId="0" xfId="0" applyFont="true" applyBorder="false" applyAlignment="true" applyProtection="false">
      <alignment horizontal="center" vertical="center" textRotation="0" wrapText="false" indent="0" shrinkToFit="false"/>
      <protection locked="true" hidden="false"/>
    </xf>
    <xf numFmtId="164" fontId="47" fillId="9" borderId="0" xfId="0" applyFont="true" applyBorder="false" applyAlignment="true" applyProtection="false">
      <alignment horizontal="center" vertical="center" textRotation="0" wrapText="false" indent="0" shrinkToFit="false"/>
      <protection locked="true" hidden="false"/>
    </xf>
    <xf numFmtId="164" fontId="47" fillId="9" borderId="0" xfId="0" applyFont="true" applyBorder="false" applyAlignment="true" applyProtection="false">
      <alignment horizontal="center" vertical="top" textRotation="0" wrapText="true" indent="0" shrinkToFit="false"/>
      <protection locked="true" hidden="false"/>
    </xf>
    <xf numFmtId="165" fontId="108" fillId="5" borderId="0" xfId="0" applyFont="true" applyBorder="false" applyAlignment="true" applyProtection="false">
      <alignment horizontal="right" vertical="center" textRotation="0" wrapText="false" indent="1" shrinkToFit="false"/>
      <protection locked="true" hidden="false"/>
    </xf>
    <xf numFmtId="165" fontId="108" fillId="5" borderId="0" xfId="0" applyFont="true" applyBorder="false" applyAlignment="true" applyProtection="false">
      <alignment horizontal="right" vertical="top" textRotation="0" wrapText="true" indent="1" shrinkToFit="false"/>
      <protection locked="true" hidden="false"/>
    </xf>
    <xf numFmtId="164" fontId="39" fillId="5" borderId="0" xfId="0" applyFont="true" applyBorder="false" applyAlignment="true" applyProtection="false">
      <alignment horizontal="left" vertical="top" textRotation="0" wrapText="true" indent="1" shrinkToFit="false"/>
      <protection locked="true" hidden="false"/>
    </xf>
    <xf numFmtId="170" fontId="0" fillId="39" borderId="0" xfId="0" applyFont="false" applyBorder="false" applyAlignment="false" applyProtection="false">
      <alignment horizontal="general" vertical="bottom" textRotation="0" wrapText="false" indent="0" shrinkToFit="false"/>
      <protection locked="true" hidden="false"/>
    </xf>
    <xf numFmtId="170" fontId="0" fillId="24" borderId="0" xfId="0" applyFont="false" applyBorder="false" applyAlignment="false" applyProtection="false">
      <alignment horizontal="general" vertical="bottom" textRotation="0" wrapText="false" indent="0" shrinkToFit="false"/>
      <protection locked="true" hidden="false"/>
    </xf>
    <xf numFmtId="165" fontId="36" fillId="31" borderId="0" xfId="0" applyFont="true" applyBorder="false" applyAlignment="true" applyProtection="false">
      <alignment horizontal="right" vertical="center" textRotation="0" wrapText="false" indent="1" shrinkToFit="false"/>
      <protection locked="true" hidden="false"/>
    </xf>
    <xf numFmtId="198" fontId="39" fillId="0" borderId="0" xfId="0" applyFont="true" applyBorder="false" applyAlignment="true" applyProtection="false">
      <alignment horizontal="right" vertical="center" textRotation="0" wrapText="false" indent="1" shrinkToFit="false"/>
      <protection locked="true" hidden="false"/>
    </xf>
    <xf numFmtId="198" fontId="39" fillId="0" borderId="0" xfId="0" applyFont="true" applyBorder="false" applyAlignment="true" applyProtection="false">
      <alignment horizontal="right" vertical="top" textRotation="0" wrapText="true" indent="1" shrinkToFit="false"/>
      <protection locked="true" hidden="false"/>
    </xf>
    <xf numFmtId="165" fontId="108" fillId="0" borderId="0" xfId="0" applyFont="true" applyBorder="false" applyAlignment="true" applyProtection="false">
      <alignment horizontal="right" vertical="top" textRotation="0" wrapText="true" indent="1" shrinkToFit="false"/>
      <protection locked="true" hidden="false"/>
    </xf>
    <xf numFmtId="166" fontId="27" fillId="0" borderId="0" xfId="0" applyFont="true" applyBorder="false" applyAlignment="true" applyProtection="false">
      <alignment horizontal="right" vertical="top" textRotation="0" wrapText="true" indent="1" shrinkToFit="false"/>
      <protection locked="true" hidden="false"/>
    </xf>
    <xf numFmtId="164" fontId="131" fillId="0" borderId="0" xfId="0" applyFont="true" applyBorder="false" applyAlignment="true" applyProtection="false">
      <alignment horizontal="left" vertical="center" textRotation="0" wrapText="false" indent="1" shrinkToFit="false"/>
      <protection locked="true" hidden="false"/>
    </xf>
    <xf numFmtId="164" fontId="39" fillId="0" borderId="0" xfId="0" applyFont="true" applyBorder="false" applyAlignment="true" applyProtection="false">
      <alignment horizontal="center" vertical="center" textRotation="0" wrapText="false" indent="0" shrinkToFit="false"/>
      <protection locked="true" hidden="false"/>
    </xf>
    <xf numFmtId="164" fontId="39" fillId="0" borderId="0" xfId="0" applyFont="true" applyBorder="false" applyAlignment="true" applyProtection="false">
      <alignment horizontal="center" vertical="top" textRotation="0" wrapText="true" indent="0" shrinkToFit="false"/>
      <protection locked="true" hidden="false"/>
    </xf>
    <xf numFmtId="188" fontId="24" fillId="0" borderId="0" xfId="0" applyFont="true" applyBorder="false" applyAlignment="true" applyProtection="false">
      <alignment horizontal="center" vertical="top" textRotation="0" wrapText="true" indent="0" shrinkToFit="false"/>
      <protection locked="true" hidden="false"/>
    </xf>
    <xf numFmtId="165" fontId="94" fillId="20" borderId="0" xfId="0" applyFont="true" applyBorder="false" applyAlignment="true" applyProtection="false">
      <alignment horizontal="right" vertical="center" textRotation="0" wrapText="false" indent="1" shrinkToFit="false"/>
      <protection locked="true" hidden="false"/>
    </xf>
    <xf numFmtId="165" fontId="94" fillId="9" borderId="0" xfId="0" applyFont="true" applyBorder="false" applyAlignment="true" applyProtection="false">
      <alignment horizontal="right" vertical="center" textRotation="0" wrapText="false" indent="1" shrinkToFit="false"/>
      <protection locked="true" hidden="false"/>
    </xf>
    <xf numFmtId="188" fontId="36" fillId="0" borderId="0" xfId="0" applyFont="true" applyBorder="false" applyAlignment="true" applyProtection="false">
      <alignment horizontal="center" vertical="top" textRotation="0" wrapText="true" indent="0" shrinkToFit="false"/>
      <protection locked="true" hidden="false"/>
    </xf>
    <xf numFmtId="174" fontId="140" fillId="31"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general" vertical="top" textRotation="0" wrapText="true" indent="0" shrinkToFit="false"/>
      <protection locked="true" hidden="false"/>
    </xf>
    <xf numFmtId="174" fontId="145" fillId="0" borderId="0" xfId="0" applyFont="true" applyBorder="false" applyAlignment="true" applyProtection="false">
      <alignment horizontal="center" vertical="center" textRotation="0" wrapText="false" indent="0" shrinkToFit="false"/>
      <protection locked="true" hidden="false"/>
    </xf>
    <xf numFmtId="164" fontId="36" fillId="0" borderId="0" xfId="0" applyFont="true" applyBorder="false" applyAlignment="true" applyProtection="false">
      <alignment horizontal="general" vertical="top" textRotation="0" wrapText="true" indent="0" shrinkToFit="false"/>
      <protection locked="true" hidden="false"/>
    </xf>
    <xf numFmtId="174" fontId="58" fillId="31" borderId="0" xfId="0" applyFont="true" applyBorder="false" applyAlignment="true" applyProtection="false">
      <alignment horizontal="center" vertical="center" textRotation="0" wrapText="false" indent="0" shrinkToFit="false"/>
      <protection locked="true" hidden="false"/>
    </xf>
    <xf numFmtId="166" fontId="137" fillId="0" borderId="0" xfId="0" applyFont="true" applyBorder="false" applyAlignment="true" applyProtection="false">
      <alignment horizontal="center" vertical="center" textRotation="0" wrapText="false" indent="0" shrinkToFit="false"/>
      <protection locked="true" hidden="false"/>
    </xf>
    <xf numFmtId="164" fontId="112" fillId="0" borderId="0" xfId="0" applyFont="true" applyBorder="true" applyAlignment="true" applyProtection="false">
      <alignment horizontal="center" vertical="center" textRotation="0" wrapText="false" indent="0" shrinkToFit="false"/>
      <protection locked="true" hidden="false"/>
    </xf>
    <xf numFmtId="164" fontId="26" fillId="21" borderId="0" xfId="0" applyFont="true" applyBorder="false" applyAlignment="true" applyProtection="false">
      <alignment horizontal="center" vertical="center" textRotation="0" wrapText="false" indent="0" shrinkToFit="false"/>
      <protection locked="true" hidden="false"/>
    </xf>
    <xf numFmtId="164" fontId="26" fillId="5" borderId="0" xfId="0" applyFont="true" applyBorder="false" applyAlignment="true" applyProtection="false">
      <alignment horizontal="center" vertical="center" textRotation="0" wrapText="false" indent="0" shrinkToFit="false"/>
      <protection locked="true" hidden="false"/>
    </xf>
    <xf numFmtId="164" fontId="26" fillId="40" borderId="0" xfId="0" applyFont="true" applyBorder="false" applyAlignment="true" applyProtection="false">
      <alignment horizontal="center" vertical="center" textRotation="0" wrapText="false" indent="0" shrinkToFit="false"/>
      <protection locked="true" hidden="false"/>
    </xf>
    <xf numFmtId="168" fontId="27" fillId="0" borderId="0" xfId="0" applyFont="true" applyBorder="false" applyAlignment="true" applyProtection="false">
      <alignment horizontal="center" vertical="center" textRotation="0" wrapText="false" indent="0" shrinkToFit="false"/>
      <protection locked="true" hidden="false"/>
    </xf>
    <xf numFmtId="165" fontId="12" fillId="21" borderId="0" xfId="0" applyFont="true" applyBorder="false" applyAlignment="true" applyProtection="false">
      <alignment horizontal="right" vertical="center" textRotation="0" wrapText="false" indent="1" shrinkToFit="false"/>
      <protection locked="true" hidden="false"/>
    </xf>
    <xf numFmtId="165" fontId="12" fillId="40" borderId="0" xfId="0" applyFont="true" applyBorder="false" applyAlignment="true" applyProtection="false">
      <alignment horizontal="right" vertical="center" textRotation="0" wrapText="false" indent="1" shrinkToFit="false"/>
      <protection locked="true" hidden="false"/>
    </xf>
    <xf numFmtId="166" fontId="12" fillId="21" borderId="0" xfId="0" applyFont="true" applyBorder="false" applyAlignment="true" applyProtection="false">
      <alignment horizontal="right" vertical="center" textRotation="0" wrapText="false" indent="1" shrinkToFit="false"/>
      <protection locked="true" hidden="false"/>
    </xf>
    <xf numFmtId="166" fontId="12" fillId="40" borderId="0" xfId="0" applyFont="true" applyBorder="false" applyAlignment="true" applyProtection="false">
      <alignment horizontal="right" vertical="center" textRotation="0" wrapText="false" indent="1" shrinkToFit="false"/>
      <protection locked="true" hidden="false"/>
    </xf>
    <xf numFmtId="179" fontId="42" fillId="21" borderId="0" xfId="0" applyFont="true" applyBorder="false" applyAlignment="true" applyProtection="false">
      <alignment horizontal="right" vertical="center" textRotation="0" wrapText="false" indent="1" shrinkToFit="false"/>
      <protection locked="true" hidden="false"/>
    </xf>
    <xf numFmtId="179" fontId="42" fillId="12" borderId="0" xfId="0" applyFont="true" applyBorder="false" applyAlignment="true" applyProtection="false">
      <alignment horizontal="right" vertical="center" textRotation="0" wrapText="false" indent="1" shrinkToFit="false"/>
      <protection locked="true" hidden="false"/>
    </xf>
    <xf numFmtId="179" fontId="42" fillId="40" borderId="0" xfId="0" applyFont="true" applyBorder="false" applyAlignment="true" applyProtection="false">
      <alignment horizontal="right" vertical="center" textRotation="0" wrapText="false" indent="1" shrinkToFit="false"/>
      <protection locked="true" hidden="false"/>
    </xf>
    <xf numFmtId="165" fontId="36" fillId="21" borderId="0" xfId="0" applyFont="true" applyBorder="false" applyAlignment="true" applyProtection="false">
      <alignment horizontal="right" vertical="center" textRotation="0" wrapText="false" indent="1" shrinkToFit="false"/>
      <protection locked="true" hidden="false"/>
    </xf>
    <xf numFmtId="165" fontId="36" fillId="40" borderId="0" xfId="0" applyFont="true" applyBorder="false" applyAlignment="true" applyProtection="false">
      <alignment horizontal="right" vertical="center" textRotation="0" wrapText="false" indent="1" shrinkToFit="false"/>
      <protection locked="true" hidden="false"/>
    </xf>
    <xf numFmtId="168" fontId="36" fillId="0" borderId="0" xfId="0" applyFont="true" applyBorder="false" applyAlignment="true" applyProtection="false">
      <alignment horizontal="left" vertical="top" textRotation="0" wrapText="true" indent="0" shrinkToFit="false"/>
      <protection locked="true" hidden="false"/>
    </xf>
    <xf numFmtId="186" fontId="42" fillId="21" borderId="0" xfId="0" applyFont="true" applyBorder="false" applyAlignment="true" applyProtection="false">
      <alignment horizontal="center" vertical="center" textRotation="0" wrapText="false" indent="0" shrinkToFit="false"/>
      <protection locked="true" hidden="false"/>
    </xf>
    <xf numFmtId="186" fontId="42" fillId="40" borderId="0" xfId="0" applyFont="true" applyBorder="false" applyAlignment="true" applyProtection="false">
      <alignment horizontal="center" vertical="center" textRotation="0" wrapText="false" indent="0" shrinkToFit="false"/>
      <protection locked="true" hidden="false"/>
    </xf>
    <xf numFmtId="186" fontId="27" fillId="0" borderId="0" xfId="0" applyFont="true" applyBorder="false" applyAlignment="true" applyProtection="false">
      <alignment horizontal="center" vertical="center" textRotation="0" wrapText="false" indent="0" shrinkToFit="false"/>
      <protection locked="true" hidden="false"/>
    </xf>
    <xf numFmtId="165" fontId="107" fillId="0" borderId="0" xfId="0" applyFont="true" applyBorder="false" applyAlignment="true" applyProtection="false">
      <alignment horizontal="right" vertical="center" textRotation="0" wrapText="false" indent="1" shrinkToFit="false"/>
      <protection locked="true" hidden="false"/>
    </xf>
    <xf numFmtId="186" fontId="107" fillId="0" borderId="0" xfId="0" applyFont="true" applyBorder="false" applyAlignment="true" applyProtection="false">
      <alignment horizontal="right" vertical="center" textRotation="0" wrapText="false" indent="1" shrinkToFit="false"/>
      <protection locked="true" hidden="false"/>
    </xf>
    <xf numFmtId="164" fontId="36" fillId="5" borderId="0" xfId="0" applyFont="true" applyBorder="false" applyAlignment="true" applyProtection="false">
      <alignment horizontal="left" vertical="top" textRotation="0" wrapText="true" indent="0" shrinkToFit="false"/>
      <protection locked="true" hidden="false"/>
    </xf>
    <xf numFmtId="164" fontId="94" fillId="2" borderId="0" xfId="0" applyFont="true" applyBorder="false" applyAlignment="true" applyProtection="false">
      <alignment horizontal="left" vertical="top" textRotation="0" wrapText="true" indent="1" shrinkToFit="false"/>
      <protection locked="true" hidden="false"/>
    </xf>
    <xf numFmtId="179" fontId="117" fillId="2" borderId="0" xfId="0" applyFont="true" applyBorder="false" applyAlignment="true" applyProtection="false">
      <alignment horizontal="right" vertical="center" textRotation="0" wrapText="false" indent="1" shrinkToFit="false"/>
      <protection locked="true" hidden="false"/>
    </xf>
    <xf numFmtId="186" fontId="117" fillId="2" borderId="0" xfId="0" applyFont="true" applyBorder="false" applyAlignment="true" applyProtection="false">
      <alignment horizontal="right" vertical="center" textRotation="0" wrapText="false" indent="1" shrinkToFit="false"/>
      <protection locked="true" hidden="false"/>
    </xf>
    <xf numFmtId="168" fontId="16" fillId="0" borderId="0" xfId="0" applyFont="true" applyBorder="false" applyAlignment="true" applyProtection="false">
      <alignment horizontal="left" vertical="top"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78" fontId="0" fillId="39" borderId="0" xfId="0" applyFont="false" applyBorder="false" applyAlignment="true" applyProtection="false">
      <alignment horizontal="general" vertical="top" textRotation="0" wrapText="true" indent="0" shrinkToFit="false"/>
      <protection locked="true" hidden="false"/>
    </xf>
    <xf numFmtId="178" fontId="0" fillId="19" borderId="0" xfId="0" applyFont="false" applyBorder="false" applyAlignment="true" applyProtection="false">
      <alignment horizontal="general" vertical="top" textRotation="0" wrapText="true" indent="0" shrinkToFit="false"/>
      <protection locked="true" hidden="false"/>
    </xf>
    <xf numFmtId="178" fontId="0" fillId="0" borderId="0" xfId="0" applyFont="false" applyBorder="false" applyAlignment="true" applyProtection="false">
      <alignment horizontal="general" vertical="top" textRotation="0" wrapText="true" indent="0" shrinkToFit="false"/>
      <protection locked="true" hidden="false"/>
    </xf>
    <xf numFmtId="167" fontId="0" fillId="0" borderId="0" xfId="0" applyFont="false" applyBorder="false" applyAlignment="true" applyProtection="false">
      <alignment horizontal="general" vertical="top" textRotation="0" wrapText="true" indent="0" shrinkToFit="false"/>
      <protection locked="true" hidden="false"/>
    </xf>
    <xf numFmtId="164" fontId="27" fillId="21" borderId="0" xfId="0" applyFont="true" applyBorder="false" applyAlignment="true" applyProtection="false">
      <alignment horizontal="center" vertical="center" textRotation="0" wrapText="false" indent="0" shrinkToFit="false"/>
      <protection locked="true" hidden="false"/>
    </xf>
    <xf numFmtId="174" fontId="27" fillId="0" borderId="0" xfId="0" applyFont="true" applyBorder="false" applyAlignment="true" applyProtection="false">
      <alignment horizontal="center" vertical="center" textRotation="0" wrapText="false" indent="0" shrinkToFit="false"/>
      <protection locked="true" hidden="false"/>
    </xf>
    <xf numFmtId="174" fontId="27" fillId="21" borderId="0" xfId="0" applyFont="true" applyBorder="false" applyAlignment="true" applyProtection="false">
      <alignment horizontal="center" vertical="center" textRotation="0" wrapText="false" indent="0" shrinkToFit="false"/>
      <protection locked="true" hidden="false"/>
    </xf>
    <xf numFmtId="164" fontId="97" fillId="20" borderId="0" xfId="0" applyFont="true" applyBorder="false" applyAlignment="true" applyProtection="false">
      <alignment horizontal="left" vertical="center" textRotation="0" wrapText="false" indent="1" shrinkToFit="false"/>
      <protection locked="true" hidden="false"/>
    </xf>
    <xf numFmtId="166" fontId="102" fillId="0" borderId="0" xfId="0" applyFont="true" applyBorder="false" applyAlignment="true" applyProtection="false">
      <alignment horizontal="right" vertical="center" textRotation="0" wrapText="false" indent="1" shrinkToFit="false"/>
      <protection locked="true" hidden="false"/>
    </xf>
    <xf numFmtId="199" fontId="102" fillId="0" borderId="0" xfId="0" applyFont="true" applyBorder="false" applyAlignment="true" applyProtection="false">
      <alignment horizontal="right" vertical="center" textRotation="0" wrapText="false" indent="1" shrinkToFit="false"/>
      <protection locked="true" hidden="false"/>
    </xf>
    <xf numFmtId="164" fontId="27" fillId="4" borderId="0" xfId="0" applyFont="true" applyBorder="false" applyAlignment="true" applyProtection="false">
      <alignment horizontal="left" vertical="top" textRotation="0" wrapText="true" indent="1" shrinkToFit="false"/>
      <protection locked="true" hidden="false"/>
    </xf>
    <xf numFmtId="166" fontId="141" fillId="4" borderId="0" xfId="0" applyFont="true" applyBorder="false" applyAlignment="true" applyProtection="false">
      <alignment horizontal="right" vertical="center" textRotation="0" wrapText="false" indent="1" shrinkToFit="false"/>
      <protection locked="true" hidden="false"/>
    </xf>
    <xf numFmtId="166" fontId="27" fillId="0" borderId="0" xfId="0" applyFont="true" applyBorder="false" applyAlignment="true" applyProtection="false">
      <alignment horizontal="right" vertical="center" textRotation="0" wrapText="false" indent="1" shrinkToFit="false"/>
      <protection locked="true" hidden="false"/>
    </xf>
    <xf numFmtId="164" fontId="102" fillId="0" borderId="0" xfId="0" applyFont="true" applyBorder="false" applyAlignment="true" applyProtection="false">
      <alignment horizontal="right" vertical="center" textRotation="0" wrapText="false" indent="1" shrinkToFit="false"/>
      <protection locked="true" hidden="false"/>
    </xf>
    <xf numFmtId="164" fontId="39" fillId="0" borderId="0" xfId="0" applyFont="true" applyBorder="true" applyAlignment="true" applyProtection="false">
      <alignment horizontal="left" vertical="center" textRotation="0" wrapText="false" indent="1" shrinkToFit="false"/>
      <protection locked="true" hidden="false"/>
    </xf>
    <xf numFmtId="170" fontId="36" fillId="0" borderId="0" xfId="0" applyFont="true" applyBorder="false" applyAlignment="true" applyProtection="false">
      <alignment horizontal="right" vertical="center" textRotation="0" wrapText="false" indent="1" shrinkToFit="false"/>
      <protection locked="true" hidden="false"/>
    </xf>
    <xf numFmtId="176" fontId="36" fillId="0" borderId="0" xfId="0" applyFont="true" applyBorder="false" applyAlignment="true" applyProtection="false">
      <alignment horizontal="right" vertical="center" textRotation="0" wrapText="false" indent="1" shrinkToFit="false"/>
      <protection locked="true" hidden="false"/>
    </xf>
    <xf numFmtId="175" fontId="98" fillId="12" borderId="0" xfId="0" applyFont="true" applyBorder="false" applyAlignment="true" applyProtection="false">
      <alignment horizontal="right" vertical="center" textRotation="0" wrapText="false" indent="1" shrinkToFit="false"/>
      <protection locked="true" hidden="false"/>
    </xf>
    <xf numFmtId="164" fontId="146" fillId="0" borderId="0" xfId="0" applyFont="true" applyBorder="false" applyAlignment="true" applyProtection="false">
      <alignment horizontal="general" vertical="top" textRotation="0" wrapText="tru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36" fillId="0" borderId="0" xfId="0" applyFont="true" applyBorder="false" applyAlignment="true" applyProtection="false">
      <alignment horizontal="center" vertical="top" textRotation="0" wrapText="true" indent="0" shrinkToFit="false"/>
      <protection locked="true" hidden="false"/>
    </xf>
    <xf numFmtId="164" fontId="26" fillId="0" borderId="0" xfId="0" applyFont="true" applyBorder="false" applyAlignment="true" applyProtection="false">
      <alignment horizontal="left" vertical="top" textRotation="0" wrapText="false" indent="1" shrinkToFit="false"/>
      <protection locked="true" hidden="false"/>
    </xf>
    <xf numFmtId="165" fontId="64" fillId="39" borderId="0" xfId="0" applyFont="true" applyBorder="false" applyAlignment="true" applyProtection="false">
      <alignment horizontal="general" vertical="top" textRotation="0" wrapText="true" indent="0" shrinkToFit="false"/>
      <protection locked="true" hidden="false"/>
    </xf>
    <xf numFmtId="165" fontId="0" fillId="39" borderId="0" xfId="0" applyFont="false" applyBorder="false" applyAlignment="true" applyProtection="false">
      <alignment horizontal="general" vertical="top" textRotation="0" wrapText="true" indent="0" shrinkToFit="false"/>
      <protection locked="true" hidden="false"/>
    </xf>
    <xf numFmtId="164" fontId="121" fillId="5" borderId="0" xfId="0" applyFont="true" applyBorder="true" applyAlignment="true" applyProtection="false">
      <alignment horizontal="left" vertical="top" textRotation="0" wrapText="true" indent="1" shrinkToFit="false"/>
      <protection locked="true" hidden="false"/>
    </xf>
    <xf numFmtId="164" fontId="147" fillId="0" borderId="0" xfId="0" applyFont="true" applyBorder="false" applyAlignment="true" applyProtection="false">
      <alignment horizontal="general" vertical="top" textRotation="0" wrapText="true" indent="0" shrinkToFit="false"/>
      <protection locked="true" hidden="false"/>
    </xf>
    <xf numFmtId="164" fontId="147" fillId="0" borderId="0" xfId="0" applyFont="true" applyBorder="false" applyAlignment="false" applyProtection="false">
      <alignment horizontal="general" vertical="bottom" textRotation="0" wrapText="false" indent="0" shrinkToFit="false"/>
      <protection locked="true" hidden="false"/>
    </xf>
    <xf numFmtId="164" fontId="148" fillId="0" borderId="0" xfId="0" applyFont="true" applyBorder="false" applyAlignment="true" applyProtection="false">
      <alignment horizontal="general" vertical="top" textRotation="0" wrapText="true" indent="0" shrinkToFit="false"/>
      <protection locked="true" hidden="false"/>
    </xf>
    <xf numFmtId="165" fontId="148" fillId="0" borderId="0" xfId="0" applyFont="true" applyBorder="false" applyAlignment="false" applyProtection="false">
      <alignment horizontal="general" vertical="bottom" textRotation="0" wrapText="false" indent="0" shrinkToFit="false"/>
      <protection locked="true" hidden="false"/>
    </xf>
    <xf numFmtId="164" fontId="89" fillId="3" borderId="0" xfId="0" applyFont="true" applyBorder="true" applyAlignment="true" applyProtection="false">
      <alignment horizontal="left" vertical="top" textRotation="0" wrapText="true" indent="1" shrinkToFit="false"/>
      <protection locked="true" hidden="false"/>
    </xf>
    <xf numFmtId="164" fontId="15" fillId="4" borderId="0" xfId="0" applyFont="true" applyBorder="true" applyAlignment="true" applyProtection="false">
      <alignment horizontal="center" vertical="top" textRotation="0" wrapText="true" indent="0" shrinkToFit="false"/>
      <protection locked="true" hidden="false"/>
    </xf>
    <xf numFmtId="164" fontId="15" fillId="4" borderId="0" xfId="0" applyFont="true" applyBorder="true" applyAlignment="true" applyProtection="false">
      <alignment horizontal="center" vertical="center" textRotation="0" wrapText="true" indent="0" shrinkToFit="false"/>
      <protection locked="true" hidden="false"/>
    </xf>
    <xf numFmtId="165" fontId="26" fillId="5" borderId="0" xfId="0" applyFont="true" applyBorder="true" applyAlignment="true" applyProtection="false">
      <alignment horizontal="right" vertical="center" textRotation="0" wrapText="false" indent="1" shrinkToFit="false"/>
      <protection locked="true" hidden="false"/>
    </xf>
    <xf numFmtId="165" fontId="27" fillId="5" borderId="0" xfId="0" applyFont="true" applyBorder="true" applyAlignment="true" applyProtection="false">
      <alignment horizontal="right" vertical="center" textRotation="0" wrapText="false" indent="1" shrinkToFit="false"/>
      <protection locked="true" hidden="false"/>
    </xf>
    <xf numFmtId="164" fontId="149" fillId="5" borderId="0" xfId="0" applyFont="true" applyBorder="true" applyAlignment="true" applyProtection="false">
      <alignment horizontal="center" vertical="center" textRotation="0" wrapText="false" indent="0" shrinkToFit="false"/>
      <protection locked="true" hidden="false"/>
    </xf>
    <xf numFmtId="164" fontId="59" fillId="23" borderId="0" xfId="0" applyFont="true" applyBorder="false" applyAlignment="true" applyProtection="false">
      <alignment horizontal="left" vertical="top" textRotation="0" wrapText="true" indent="0" shrinkToFit="false"/>
      <protection locked="true" hidden="false"/>
    </xf>
    <xf numFmtId="164" fontId="25" fillId="4" borderId="0" xfId="0" applyFont="true" applyBorder="false" applyAlignment="true" applyProtection="false">
      <alignment horizontal="left" vertical="center" textRotation="0" wrapText="false" indent="1" shrinkToFit="false"/>
      <protection locked="true" hidden="false"/>
    </xf>
    <xf numFmtId="164" fontId="64" fillId="36" borderId="0" xfId="0" applyFont="true" applyBorder="false" applyAlignment="true" applyProtection="false">
      <alignment horizontal="left" vertical="top" textRotation="0" wrapText="true" indent="1" shrinkToFit="false"/>
      <protection locked="true" hidden="false"/>
    </xf>
    <xf numFmtId="164" fontId="26" fillId="35" borderId="0" xfId="0" applyFont="true" applyBorder="false" applyAlignment="true" applyProtection="false">
      <alignment horizontal="left" vertical="top" textRotation="0" wrapText="true" indent="1" shrinkToFit="false"/>
      <protection locked="true" hidden="false"/>
    </xf>
    <xf numFmtId="165" fontId="26" fillId="35" borderId="0" xfId="0" applyFont="true" applyBorder="false" applyAlignment="true" applyProtection="false">
      <alignment horizontal="right" vertical="center" textRotation="0" wrapText="false" indent="1" shrinkToFit="false"/>
      <protection locked="true" hidden="false"/>
    </xf>
    <xf numFmtId="164" fontId="0" fillId="35" borderId="0" xfId="0" applyFont="true" applyBorder="false" applyAlignment="false" applyProtection="false">
      <alignment horizontal="general" vertical="bottom" textRotation="0" wrapText="false" indent="0" shrinkToFit="false"/>
      <protection locked="true" hidden="false"/>
    </xf>
    <xf numFmtId="165" fontId="64" fillId="36" borderId="0" xfId="0" applyFont="true" applyBorder="false" applyAlignment="true" applyProtection="false">
      <alignment horizontal="right" vertical="center" textRotation="0" wrapText="false" indent="1" shrinkToFit="false"/>
      <protection locked="true" hidden="false"/>
    </xf>
    <xf numFmtId="164" fontId="64" fillId="36" borderId="0" xfId="0" applyFont="true" applyBorder="false" applyAlignment="true" applyProtection="false">
      <alignment horizontal="left" vertical="center" textRotation="0" wrapText="true" indent="1" shrinkToFit="false"/>
      <protection locked="true" hidden="false"/>
    </xf>
    <xf numFmtId="164" fontId="26" fillId="35" borderId="0" xfId="0" applyFont="true" applyBorder="false" applyAlignment="true" applyProtection="false">
      <alignment horizontal="left" vertical="top" textRotation="0" wrapText="true" indent="0" shrinkToFit="false"/>
      <protection locked="true" hidden="false"/>
    </xf>
    <xf numFmtId="181" fontId="0" fillId="0" borderId="0" xfId="0" applyFont="false" applyBorder="false" applyAlignment="true" applyProtection="false">
      <alignment horizontal="general" vertical="top" textRotation="0" wrapText="true" indent="0" shrinkToFit="false"/>
      <protection locked="true" hidden="false"/>
    </xf>
    <xf numFmtId="164" fontId="64" fillId="37" borderId="0" xfId="0" applyFont="true" applyBorder="false" applyAlignment="true" applyProtection="false">
      <alignment horizontal="left" vertical="top" textRotation="0" wrapText="true" indent="0" shrinkToFit="false"/>
      <protection locked="true" hidden="false"/>
    </xf>
    <xf numFmtId="165" fontId="64" fillId="37" borderId="0" xfId="0" applyFont="true" applyBorder="false" applyAlignment="true" applyProtection="false">
      <alignment horizontal="right" vertical="center" textRotation="0" wrapText="false" indent="1" shrinkToFit="false"/>
      <protection locked="true" hidden="false"/>
    </xf>
    <xf numFmtId="165" fontId="44" fillId="4" borderId="0" xfId="0" applyFont="true" applyBorder="false" applyAlignment="true" applyProtection="false">
      <alignment horizontal="right" vertical="center" textRotation="0" wrapText="false" indent="1" shrinkToFit="false"/>
      <protection locked="true" hidden="false"/>
    </xf>
    <xf numFmtId="164" fontId="150" fillId="4" borderId="0" xfId="0" applyFont="true" applyBorder="false" applyAlignment="true" applyProtection="false">
      <alignment horizontal="left" vertical="center" textRotation="0" wrapText="false" indent="1" shrinkToFit="false"/>
      <protection locked="true" hidden="false"/>
    </xf>
    <xf numFmtId="179" fontId="64" fillId="37" borderId="0" xfId="0" applyFont="true" applyBorder="false" applyAlignment="true" applyProtection="false">
      <alignment horizontal="right" vertical="center" textRotation="0" wrapText="false" indent="1" shrinkToFit="false"/>
      <protection locked="true" hidden="false"/>
    </xf>
    <xf numFmtId="179" fontId="59" fillId="23" borderId="0" xfId="0" applyFont="true" applyBorder="false" applyAlignment="true" applyProtection="false">
      <alignment horizontal="right" vertical="center" textRotation="0" wrapText="false" indent="1" shrinkToFit="false"/>
      <protection locked="true" hidden="false"/>
    </xf>
    <xf numFmtId="164" fontId="150" fillId="9" borderId="0" xfId="0" applyFont="true" applyBorder="false" applyAlignment="true" applyProtection="false">
      <alignment horizontal="left" vertical="center" textRotation="0" wrapText="false" indent="1" shrinkToFit="false"/>
      <protection locked="true" hidden="false"/>
    </xf>
    <xf numFmtId="174" fontId="24" fillId="0" borderId="0" xfId="0" applyFont="true" applyBorder="false" applyAlignment="true" applyProtection="false">
      <alignment horizontal="center" vertical="top" textRotation="0" wrapText="true" indent="0" shrinkToFit="false"/>
      <protection locked="true" hidden="false"/>
    </xf>
    <xf numFmtId="174" fontId="24" fillId="0" borderId="0" xfId="0" applyFont="true" applyBorder="false" applyAlignment="true" applyProtection="false">
      <alignment horizontal="center" vertical="center" textRotation="0" wrapText="false" indent="0" shrinkToFit="false"/>
      <protection locked="true" hidden="false"/>
    </xf>
    <xf numFmtId="165" fontId="36" fillId="12" borderId="0" xfId="0" applyFont="true" applyBorder="false" applyAlignment="true" applyProtection="false">
      <alignment horizontal="right" vertical="top" textRotation="0" wrapText="true" indent="1" shrinkToFit="false"/>
      <protection locked="true" hidden="false"/>
    </xf>
    <xf numFmtId="164" fontId="39" fillId="35" borderId="0" xfId="0" applyFont="true" applyBorder="false" applyAlignment="true" applyProtection="false">
      <alignment horizontal="left" vertical="top" textRotation="0" wrapText="true" indent="1" shrinkToFit="false"/>
      <protection locked="true" hidden="false"/>
    </xf>
    <xf numFmtId="200" fontId="0" fillId="0" borderId="0" xfId="0" applyFont="false" applyBorder="false" applyAlignment="false" applyProtection="false">
      <alignment horizontal="general" vertical="bottom" textRotation="0" wrapText="false" indent="0" shrinkToFit="false"/>
      <protection locked="true" hidden="false"/>
    </xf>
    <xf numFmtId="200" fontId="0" fillId="0" borderId="0" xfId="0" applyFont="false" applyBorder="false" applyAlignment="true" applyProtection="false">
      <alignment horizontal="general" vertical="top" textRotation="0" wrapText="true" indent="0" shrinkToFit="false"/>
      <protection locked="true" hidden="false"/>
    </xf>
    <xf numFmtId="164" fontId="26" fillId="41" borderId="0" xfId="0" applyFont="true" applyBorder="true" applyAlignment="true" applyProtection="false">
      <alignment horizontal="left" vertical="top" textRotation="0" wrapText="true" indent="0" shrinkToFit="false"/>
      <protection locked="true" hidden="false"/>
    </xf>
    <xf numFmtId="165" fontId="103" fillId="41" borderId="0" xfId="0" applyFont="true" applyBorder="true" applyAlignment="true" applyProtection="false">
      <alignment horizontal="right" vertical="center" textRotation="0" wrapText="false" indent="1" shrinkToFit="false"/>
      <protection locked="true" hidden="false"/>
    </xf>
    <xf numFmtId="165" fontId="27" fillId="41" borderId="0" xfId="0" applyFont="true" applyBorder="true" applyAlignment="true" applyProtection="false">
      <alignment horizontal="right" vertical="top" textRotation="0" wrapText="true" indent="1" shrinkToFit="false"/>
      <protection locked="true" hidden="false"/>
    </xf>
    <xf numFmtId="165" fontId="143" fillId="41" borderId="0" xfId="0" applyFont="true" applyBorder="false" applyAlignment="true" applyProtection="false">
      <alignment horizontal="right" vertical="center" textRotation="0" wrapText="false" indent="1" shrinkToFit="false"/>
      <protection locked="true" hidden="false"/>
    </xf>
    <xf numFmtId="166" fontId="4" fillId="5" borderId="0" xfId="0" applyFont="true" applyBorder="true" applyAlignment="true" applyProtection="false">
      <alignment horizontal="center" vertical="center" textRotation="0" wrapText="false" indent="0" shrinkToFit="false"/>
      <protection locked="true" hidden="false"/>
    </xf>
    <xf numFmtId="166" fontId="14" fillId="41" borderId="0" xfId="0" applyFont="true" applyBorder="true" applyAlignment="true" applyProtection="false">
      <alignment horizontal="center" vertical="center" textRotation="0" wrapText="false" indent="0" shrinkToFit="false"/>
      <protection locked="true" hidden="false"/>
    </xf>
    <xf numFmtId="164" fontId="26" fillId="5" borderId="0" xfId="0" applyFont="true" applyBorder="true" applyAlignment="true" applyProtection="false">
      <alignment horizontal="left" vertical="top" textRotation="0" wrapText="true" indent="0" shrinkToFit="false"/>
      <protection locked="true" hidden="false"/>
    </xf>
    <xf numFmtId="165" fontId="27" fillId="5" borderId="0" xfId="0" applyFont="true" applyBorder="true" applyAlignment="true" applyProtection="false">
      <alignment horizontal="right" vertical="top" textRotation="0" wrapText="true" indent="1" shrinkToFit="false"/>
      <protection locked="true" hidden="false"/>
    </xf>
    <xf numFmtId="165" fontId="143" fillId="5" borderId="0" xfId="0" applyFont="true" applyBorder="false" applyAlignment="true" applyProtection="false">
      <alignment horizontal="right" vertical="center" textRotation="0" wrapText="false" indent="1" shrinkToFit="false"/>
      <protection locked="true" hidden="false"/>
    </xf>
    <xf numFmtId="166" fontId="4" fillId="21" borderId="0" xfId="0" applyFont="true" applyBorder="true" applyAlignment="true" applyProtection="false">
      <alignment horizontal="center" vertical="center" textRotation="0" wrapText="false" indent="0" shrinkToFit="false"/>
      <protection locked="true" hidden="false"/>
    </xf>
    <xf numFmtId="166" fontId="14" fillId="5" borderId="0" xfId="0" applyFont="true" applyBorder="true" applyAlignment="true" applyProtection="false">
      <alignment horizontal="center" vertical="center" textRotation="0" wrapText="false" indent="0" shrinkToFit="false"/>
      <protection locked="true" hidden="false"/>
    </xf>
    <xf numFmtId="164" fontId="15" fillId="4" borderId="0" xfId="0" applyFont="true" applyBorder="false" applyAlignment="true" applyProtection="false">
      <alignment horizontal="center" vertical="top" textRotation="0" wrapText="true" indent="0" shrinkToFit="false"/>
      <protection locked="true" hidden="false"/>
    </xf>
    <xf numFmtId="164" fontId="15" fillId="4" borderId="0" xfId="0" applyFont="true" applyBorder="false" applyAlignment="true" applyProtection="false">
      <alignment horizontal="center" vertical="center" textRotation="0" wrapText="true" indent="0" shrinkToFit="false"/>
      <protection locked="true" hidden="false"/>
    </xf>
    <xf numFmtId="164" fontId="27" fillId="5" borderId="0" xfId="0" applyFont="true" applyBorder="false" applyAlignment="true" applyProtection="false">
      <alignment horizontal="left" vertical="center" textRotation="0" wrapText="true" indent="1" shrinkToFit="false"/>
      <protection locked="true" hidden="false"/>
    </xf>
    <xf numFmtId="165" fontId="27" fillId="5" borderId="0" xfId="0" applyFont="true" applyBorder="false" applyAlignment="true" applyProtection="false">
      <alignment horizontal="left" vertical="center" textRotation="0" wrapText="true" indent="1" shrinkToFit="false"/>
      <protection locked="true" hidden="false"/>
    </xf>
    <xf numFmtId="164" fontId="91" fillId="5" borderId="0" xfId="0" applyFont="true" applyBorder="true" applyAlignment="true" applyProtection="false">
      <alignment horizontal="left" vertical="top" textRotation="0" wrapText="true" indent="1" shrinkToFit="false"/>
      <protection locked="true" hidden="false"/>
    </xf>
    <xf numFmtId="164" fontId="118" fillId="4" borderId="0" xfId="0" applyFont="true" applyBorder="false" applyAlignment="true" applyProtection="false">
      <alignment horizontal="general" vertical="top" textRotation="0" wrapText="true" indent="0" shrinkToFit="false"/>
      <protection locked="true" hidden="false"/>
    </xf>
    <xf numFmtId="164" fontId="118" fillId="4" borderId="0" xfId="0" applyFont="true" applyBorder="false" applyAlignment="false" applyProtection="false">
      <alignment horizontal="general" vertical="bottom" textRotation="0" wrapText="false" indent="0" shrinkToFit="false"/>
      <protection locked="true" hidden="false"/>
    </xf>
    <xf numFmtId="164" fontId="151" fillId="4" borderId="0" xfId="0" applyFont="true" applyBorder="true" applyAlignment="true" applyProtection="false">
      <alignment horizontal="center" vertical="center" textRotation="0" wrapText="false" indent="0" shrinkToFit="false"/>
      <protection locked="true" hidden="false"/>
    </xf>
    <xf numFmtId="164" fontId="118" fillId="4" borderId="0" xfId="0" applyFont="true" applyBorder="true" applyAlignment="false" applyProtection="false">
      <alignment horizontal="general" vertical="bottom" textRotation="0" wrapText="false" indent="0" shrinkToFit="false"/>
      <protection locked="true" hidden="false"/>
    </xf>
    <xf numFmtId="164" fontId="119" fillId="5" borderId="0" xfId="0" applyFont="true" applyBorder="false" applyAlignment="true" applyProtection="false">
      <alignment horizontal="center" vertical="center" textRotation="0" wrapText="false" indent="0" shrinkToFit="false"/>
      <protection locked="true" hidden="false"/>
    </xf>
    <xf numFmtId="164" fontId="118" fillId="4" borderId="0"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left" vertical="center" textRotation="0" wrapText="true" indent="1" shrinkToFit="false"/>
      <protection locked="true" hidden="false"/>
    </xf>
    <xf numFmtId="167" fontId="91" fillId="0" borderId="0" xfId="0" applyFont="true" applyBorder="true" applyAlignment="true" applyProtection="false">
      <alignment horizontal="right" vertical="top" textRotation="0" wrapText="true" indent="1" shrinkToFit="false"/>
      <protection locked="true" hidden="false"/>
    </xf>
    <xf numFmtId="164" fontId="104" fillId="0" borderId="0" xfId="0" applyFont="true" applyBorder="true" applyAlignment="true" applyProtection="false">
      <alignment horizontal="left" vertical="center" textRotation="0" wrapText="true" indent="1" shrinkToFit="false"/>
      <protection locked="true" hidden="false"/>
    </xf>
    <xf numFmtId="164" fontId="100" fillId="21" borderId="0" xfId="0" applyFont="true" applyBorder="false" applyAlignment="true" applyProtection="false">
      <alignment horizontal="center" vertical="center" textRotation="0" wrapText="false" indent="0" shrinkToFit="false"/>
      <protection locked="true" hidden="false"/>
    </xf>
    <xf numFmtId="164" fontId="36" fillId="17" borderId="0" xfId="0" applyFont="true" applyBorder="true" applyAlignment="true" applyProtection="false">
      <alignment horizontal="general" vertical="top" textRotation="0" wrapText="true" indent="0" shrinkToFit="false"/>
      <protection locked="true" hidden="false"/>
    </xf>
    <xf numFmtId="164" fontId="39" fillId="0" borderId="0" xfId="0" applyFont="true" applyBorder="true" applyAlignment="true" applyProtection="false">
      <alignment horizontal="center" vertical="center" textRotation="0" wrapText="false" indent="0" shrinkToFit="false"/>
      <protection locked="true" hidden="false"/>
    </xf>
    <xf numFmtId="164" fontId="132" fillId="3" borderId="0" xfId="0" applyFont="true" applyBorder="true" applyAlignment="true" applyProtection="false">
      <alignment horizontal="left" vertical="top" textRotation="0" wrapText="true" indent="1" shrinkToFit="false"/>
      <protection locked="true" hidden="false"/>
    </xf>
    <xf numFmtId="164" fontId="118" fillId="4" borderId="0" xfId="0" applyFont="true" applyBorder="false" applyAlignment="true" applyProtection="false">
      <alignment horizontal="center" vertical="center" textRotation="0" wrapText="false" indent="0" shrinkToFit="false"/>
      <protection locked="true" hidden="false"/>
    </xf>
    <xf numFmtId="164" fontId="26" fillId="17" borderId="0" xfId="0" applyFont="true" applyBorder="true" applyAlignment="true" applyProtection="false">
      <alignment horizontal="left" vertical="top" textRotation="0" wrapText="true" indent="1" shrinkToFit="false"/>
      <protection locked="true" hidden="false"/>
    </xf>
    <xf numFmtId="167" fontId="27" fillId="0" borderId="0" xfId="0" applyFont="true" applyBorder="true" applyAlignment="true" applyProtection="false">
      <alignment horizontal="center" vertical="center" textRotation="0" wrapText="false" indent="0" shrinkToFit="false"/>
      <protection locked="true" hidden="false"/>
    </xf>
    <xf numFmtId="165" fontId="91" fillId="0" borderId="0" xfId="0" applyFont="true" applyBorder="true" applyAlignment="true" applyProtection="false">
      <alignment horizontal="right" vertical="center" textRotation="0" wrapText="false" indent="1" shrinkToFit="false"/>
      <protection locked="true" hidden="false"/>
    </xf>
    <xf numFmtId="164" fontId="96" fillId="0" borderId="0" xfId="0" applyFont="true" applyBorder="false" applyAlignment="true" applyProtection="false">
      <alignment horizontal="center" vertical="center" textRotation="0" wrapText="false" indent="0" shrinkToFit="false"/>
      <protection locked="true" hidden="false"/>
    </xf>
    <xf numFmtId="164" fontId="91" fillId="0" borderId="0" xfId="0" applyFont="true" applyBorder="false" applyAlignment="true" applyProtection="false">
      <alignment horizontal="center" vertical="center" textRotation="0" wrapText="false" indent="0" shrinkToFit="false"/>
      <protection locked="true" hidden="false"/>
    </xf>
    <xf numFmtId="164" fontId="100" fillId="0" borderId="0" xfId="0" applyFont="true" applyBorder="false" applyAlignment="true" applyProtection="false">
      <alignment horizontal="center" vertical="center" textRotation="0" wrapText="false" indent="0" shrinkToFit="false"/>
      <protection locked="true" hidden="false"/>
    </xf>
    <xf numFmtId="164" fontId="88" fillId="3" borderId="0" xfId="0" applyFont="true" applyBorder="true" applyAlignment="true" applyProtection="false">
      <alignment horizontal="right" vertical="top" textRotation="0" wrapText="true" indent="0" shrinkToFit="false"/>
      <protection locked="true" hidden="false"/>
    </xf>
    <xf numFmtId="164" fontId="37" fillId="0" borderId="0" xfId="0" applyFont="true" applyBorder="true" applyAlignment="true" applyProtection="false">
      <alignment horizontal="left" vertical="center" textRotation="0" wrapText="true" indent="1" shrinkToFit="false"/>
      <protection locked="true" hidden="false"/>
    </xf>
    <xf numFmtId="166" fontId="103" fillId="0"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right" vertical="center" textRotation="0" wrapText="false" indent="1" shrinkToFit="false"/>
      <protection locked="true" hidden="false"/>
    </xf>
    <xf numFmtId="201" fontId="27" fillId="5" borderId="0" xfId="0" applyFont="true" applyBorder="false" applyAlignment="true" applyProtection="false">
      <alignment horizontal="left" vertical="center" textRotation="0" wrapText="true" indent="1" shrinkToFit="false"/>
      <protection locked="true" hidden="false"/>
    </xf>
    <xf numFmtId="176" fontId="27" fillId="5" borderId="0" xfId="0" applyFont="true" applyBorder="false" applyAlignment="true" applyProtection="false">
      <alignment horizontal="left" vertical="center" textRotation="0" wrapText="true" indent="1" shrinkToFit="false"/>
      <protection locked="true" hidden="false"/>
    </xf>
    <xf numFmtId="168" fontId="89" fillId="3" borderId="0" xfId="0" applyFont="true" applyBorder="false" applyAlignment="true" applyProtection="false">
      <alignment horizontal="left" vertical="top" textRotation="0" wrapText="true" indent="1" shrinkToFit="false"/>
      <protection locked="true" hidden="false"/>
    </xf>
    <xf numFmtId="164" fontId="27" fillId="5" borderId="0" xfId="0" applyFont="true" applyBorder="false" applyAlignment="true" applyProtection="false">
      <alignment horizontal="left" vertical="center" textRotation="0" wrapText="false" indent="1" shrinkToFit="false"/>
      <protection locked="true" hidden="false"/>
    </xf>
    <xf numFmtId="165" fontId="103" fillId="5" borderId="0" xfId="0" applyFont="true" applyBorder="false" applyAlignment="true" applyProtection="false">
      <alignment horizontal="right" vertical="center" textRotation="0" wrapText="false" indent="1" shrinkToFit="false"/>
      <protection locked="true" hidden="false"/>
    </xf>
    <xf numFmtId="202" fontId="27" fillId="5" borderId="0" xfId="0" applyFont="true" applyBorder="false" applyAlignment="true" applyProtection="false">
      <alignment horizontal="center" vertical="center" textRotation="0" wrapText="false" indent="0" shrinkToFit="false"/>
      <protection locked="true" hidden="false"/>
    </xf>
    <xf numFmtId="164" fontId="100" fillId="21" borderId="0" xfId="0" applyFont="true" applyBorder="false" applyAlignment="true" applyProtection="false">
      <alignment horizontal="left" vertical="top" textRotation="0" wrapText="true" indent="1" shrinkToFit="false"/>
      <protection locked="true" hidden="false"/>
    </xf>
    <xf numFmtId="165" fontId="14" fillId="3" borderId="0" xfId="0" applyFont="true" applyBorder="false" applyAlignment="true" applyProtection="false">
      <alignment horizontal="right" vertical="center" textRotation="0" wrapText="false" indent="1" shrinkToFit="false"/>
      <protection locked="true" hidden="false"/>
    </xf>
    <xf numFmtId="167" fontId="27" fillId="5" borderId="0" xfId="0" applyFont="true" applyBorder="false" applyAlignment="true" applyProtection="false">
      <alignment horizontal="left" vertical="center" textRotation="0" wrapText="true" indent="1" shrinkToFit="false"/>
      <protection locked="true" hidden="false"/>
    </xf>
    <xf numFmtId="174" fontId="27" fillId="5" borderId="0" xfId="0" applyFont="true" applyBorder="false" applyAlignment="true" applyProtection="false">
      <alignment horizontal="left" vertical="center" textRotation="0" wrapText="true" indent="1" shrinkToFit="false"/>
      <protection locked="true" hidden="false"/>
    </xf>
    <xf numFmtId="165" fontId="103" fillId="5" borderId="0" xfId="0" applyFont="true" applyBorder="false" applyAlignment="true" applyProtection="false">
      <alignment horizontal="left" vertical="center" textRotation="0" wrapText="true" indent="1" shrinkToFit="false"/>
      <protection locked="true" hidden="false"/>
    </xf>
    <xf numFmtId="166" fontId="103" fillId="5" borderId="0" xfId="0" applyFont="true" applyBorder="false" applyAlignment="true" applyProtection="false">
      <alignment horizontal="left" vertical="center" textRotation="0" wrapText="true" indent="1" shrinkToFit="false"/>
      <protection locked="true" hidden="false"/>
    </xf>
    <xf numFmtId="165" fontId="152" fillId="0" borderId="0" xfId="0" applyFont="true" applyBorder="false" applyAlignment="true" applyProtection="false">
      <alignment horizontal="right" vertical="center" textRotation="0" wrapText="false" indent="1" shrinkToFit="false"/>
      <protection locked="true" hidden="false"/>
    </xf>
    <xf numFmtId="165" fontId="53" fillId="4" borderId="0" xfId="0" applyFont="true" applyBorder="false" applyAlignment="true" applyProtection="false">
      <alignment horizontal="right" vertical="center" textRotation="0" wrapText="false" indent="1" shrinkToFit="false"/>
      <protection locked="true" hidden="false"/>
    </xf>
    <xf numFmtId="165" fontId="32" fillId="0" borderId="0" xfId="0" applyFont="true" applyBorder="false" applyAlignment="true" applyProtection="false">
      <alignment horizontal="right" vertical="center" textRotation="0" wrapText="false" indent="1" shrinkToFit="false"/>
      <protection locked="true" hidden="false"/>
    </xf>
    <xf numFmtId="165" fontId="53" fillId="12" borderId="0" xfId="0" applyFont="true" applyBorder="false" applyAlignment="true" applyProtection="false">
      <alignment horizontal="right" vertical="center" textRotation="0" wrapText="false" indent="1" shrinkToFit="false"/>
      <protection locked="true" hidden="false"/>
    </xf>
    <xf numFmtId="164" fontId="73" fillId="5" borderId="0" xfId="0" applyFont="true" applyBorder="false" applyAlignment="true" applyProtection="false">
      <alignment horizontal="left" vertical="top" textRotation="0" wrapText="true" indent="0" shrinkToFit="false"/>
      <protection locked="true" hidden="false"/>
    </xf>
    <xf numFmtId="164" fontId="26" fillId="32" borderId="0" xfId="0" applyFont="true" applyBorder="false" applyAlignment="true" applyProtection="false">
      <alignment horizontal="left" vertical="top" textRotation="0" wrapText="true" indent="1" shrinkToFit="false"/>
      <protection locked="true" hidden="false"/>
    </xf>
    <xf numFmtId="164" fontId="37" fillId="32" borderId="0" xfId="0" applyFont="true" applyBorder="true" applyAlignment="true" applyProtection="false">
      <alignment horizontal="left" vertical="center" textRotation="0" wrapText="true" indent="1" shrinkToFit="false"/>
      <protection locked="true" hidden="false"/>
    </xf>
    <xf numFmtId="164" fontId="26" fillId="33" borderId="0" xfId="0" applyFont="true" applyBorder="false" applyAlignment="true" applyProtection="false">
      <alignment horizontal="left" vertical="top" textRotation="0" wrapText="true" indent="1" shrinkToFit="false"/>
      <protection locked="true" hidden="false"/>
    </xf>
    <xf numFmtId="164" fontId="37" fillId="33" borderId="0" xfId="0" applyFont="true" applyBorder="true" applyAlignment="true" applyProtection="false">
      <alignment horizontal="left" vertical="center" textRotation="0" wrapText="true" indent="1" shrinkToFit="false"/>
      <protection locked="true" hidden="false"/>
    </xf>
    <xf numFmtId="164" fontId="26" fillId="21" borderId="0" xfId="0" applyFont="true" applyBorder="false" applyAlignment="true" applyProtection="false">
      <alignment horizontal="left" vertical="top" textRotation="0" wrapText="true" indent="1" shrinkToFit="false"/>
      <protection locked="true" hidden="false"/>
    </xf>
    <xf numFmtId="164" fontId="37" fillId="21" borderId="0" xfId="0" applyFont="true" applyBorder="true" applyAlignment="true" applyProtection="false">
      <alignment horizontal="left" vertical="center" textRotation="0" wrapText="true" indent="1" shrinkToFit="false"/>
      <protection locked="true" hidden="false"/>
    </xf>
    <xf numFmtId="164" fontId="107" fillId="0" borderId="0" xfId="0" applyFont="true" applyBorder="false" applyAlignment="true" applyProtection="false">
      <alignment horizontal="center" vertical="top" textRotation="0" wrapText="true" indent="0" shrinkToFit="false"/>
      <protection locked="true" hidden="false"/>
    </xf>
    <xf numFmtId="164" fontId="26" fillId="32" borderId="0" xfId="0" applyFont="true" applyBorder="false" applyAlignment="true" applyProtection="false">
      <alignment horizontal="center" vertical="top" textRotation="0" wrapText="true" indent="0" shrinkToFit="false"/>
      <protection locked="true" hidden="false"/>
    </xf>
    <xf numFmtId="164" fontId="16" fillId="0" borderId="0" xfId="0" applyFont="true" applyBorder="false" applyAlignment="true" applyProtection="false">
      <alignment horizontal="left" vertical="top" textRotation="0" wrapText="true" indent="1" shrinkToFit="false"/>
      <protection locked="true" hidden="false"/>
    </xf>
    <xf numFmtId="164" fontId="26" fillId="33" borderId="0" xfId="0" applyFont="true" applyBorder="false" applyAlignment="true" applyProtection="false">
      <alignment horizontal="center" vertical="top" textRotation="0" wrapText="true" indent="0" shrinkToFit="false"/>
      <protection locked="true" hidden="false"/>
    </xf>
    <xf numFmtId="164" fontId="26" fillId="21" borderId="0" xfId="0" applyFont="true" applyBorder="false" applyAlignment="true" applyProtection="false">
      <alignment horizontal="center" vertical="top" textRotation="0" wrapText="true" indent="0" shrinkToFit="false"/>
      <protection locked="true" hidden="false"/>
    </xf>
    <xf numFmtId="165" fontId="27" fillId="0" borderId="0" xfId="0" applyFont="true" applyBorder="false" applyAlignment="true" applyProtection="false">
      <alignment horizontal="center" vertical="center" textRotation="0" wrapText="false" indent="0" shrinkToFit="false"/>
      <protection locked="true" hidden="false"/>
    </xf>
    <xf numFmtId="164" fontId="137" fillId="0" borderId="0" xfId="0" applyFont="true" applyBorder="false" applyAlignment="true" applyProtection="false">
      <alignment horizontal="left" vertical="center" textRotation="0" wrapText="false" indent="1" shrinkToFit="false"/>
      <protection locked="true" hidden="false"/>
    </xf>
    <xf numFmtId="164" fontId="0" fillId="24" borderId="0" xfId="0" applyFont="true" applyBorder="false" applyAlignment="true" applyProtection="false">
      <alignment horizontal="general" vertical="top" textRotation="0" wrapText="true" indent="0" shrinkToFit="false"/>
      <protection locked="true" hidden="false"/>
    </xf>
    <xf numFmtId="164" fontId="0" fillId="19" borderId="0" xfId="0" applyFont="true" applyBorder="false" applyAlignment="true" applyProtection="false">
      <alignment horizontal="general" vertical="top" textRotation="0" wrapText="true" indent="0" shrinkToFit="false"/>
      <protection locked="true" hidden="false"/>
    </xf>
    <xf numFmtId="164" fontId="37" fillId="32" borderId="0" xfId="0" applyFont="true" applyBorder="true" applyAlignment="true" applyProtection="false">
      <alignment horizontal="left" vertical="top" textRotation="0" wrapText="true" indent="1" shrinkToFit="false"/>
      <protection locked="true" hidden="false"/>
    </xf>
    <xf numFmtId="164" fontId="26" fillId="42" borderId="0" xfId="0" applyFont="true" applyBorder="false" applyAlignment="true" applyProtection="false">
      <alignment horizontal="left" vertical="top" textRotation="0" wrapText="true" indent="1" shrinkToFit="false"/>
      <protection locked="true" hidden="false"/>
    </xf>
    <xf numFmtId="164" fontId="37" fillId="42" borderId="0" xfId="0" applyFont="true" applyBorder="true" applyAlignment="true" applyProtection="false">
      <alignment horizontal="left" vertical="top" textRotation="0" wrapText="true" indent="1" shrinkToFit="false"/>
      <protection locked="true" hidden="false"/>
    </xf>
    <xf numFmtId="164" fontId="37" fillId="33" borderId="0" xfId="0" applyFont="true" applyBorder="true" applyAlignment="true" applyProtection="false">
      <alignment horizontal="left" vertical="top" textRotation="0" wrapText="true" indent="1" shrinkToFit="false"/>
      <protection locked="true" hidden="false"/>
    </xf>
    <xf numFmtId="164" fontId="37" fillId="21" borderId="0" xfId="0" applyFont="true" applyBorder="tru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center" vertical="top" textRotation="0" wrapText="true" indent="0" shrinkToFit="false"/>
      <protection locked="true" hidden="false"/>
    </xf>
    <xf numFmtId="164" fontId="115" fillId="0" borderId="0" xfId="0" applyFont="true" applyBorder="false" applyAlignment="true" applyProtection="false">
      <alignment horizontal="center" vertical="center" textRotation="0" wrapText="false" indent="0" shrinkToFit="false"/>
      <protection locked="true" hidden="false"/>
    </xf>
    <xf numFmtId="164" fontId="147" fillId="32" borderId="0" xfId="0" applyFont="true" applyBorder="false" applyAlignment="true" applyProtection="false">
      <alignment horizontal="center" vertical="center" textRotation="0" wrapText="false" indent="0" shrinkToFit="false"/>
      <protection locked="true" hidden="false"/>
    </xf>
    <xf numFmtId="164" fontId="37" fillId="0" borderId="0" xfId="0" applyFont="true" applyBorder="false" applyAlignment="true" applyProtection="false">
      <alignment horizontal="left" vertical="top" textRotation="0" wrapText="true" indent="1" shrinkToFit="false"/>
      <protection locked="true" hidden="false"/>
    </xf>
    <xf numFmtId="164" fontId="147" fillId="42" borderId="0" xfId="0" applyFont="true" applyBorder="false" applyAlignment="true" applyProtection="false">
      <alignment horizontal="center" vertical="center" textRotation="0" wrapText="false" indent="0" shrinkToFit="false"/>
      <protection locked="true" hidden="false"/>
    </xf>
    <xf numFmtId="164" fontId="47" fillId="43" borderId="0" xfId="0" applyFont="true" applyBorder="false" applyAlignment="true" applyProtection="false">
      <alignment horizontal="center" vertical="center" textRotation="0" wrapText="false" indent="0" shrinkToFit="false"/>
      <protection locked="true" hidden="false"/>
    </xf>
    <xf numFmtId="164" fontId="147" fillId="33" borderId="0" xfId="0" applyFont="true" applyBorder="false" applyAlignment="true" applyProtection="false">
      <alignment horizontal="center" vertical="center" textRotation="0" wrapText="false" indent="0" shrinkToFit="false"/>
      <protection locked="true" hidden="false"/>
    </xf>
    <xf numFmtId="164" fontId="147" fillId="21"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general" vertical="top" textRotation="0" wrapText="true" indent="0" shrinkToFit="false"/>
      <protection locked="true" hidden="false"/>
    </xf>
    <xf numFmtId="164" fontId="39" fillId="5" borderId="0" xfId="0" applyFont="true" applyBorder="false" applyAlignment="true" applyProtection="false">
      <alignment horizontal="center" vertical="top" textRotation="0" wrapText="false" indent="0" shrinkToFit="false"/>
      <protection locked="true" hidden="false"/>
    </xf>
    <xf numFmtId="164" fontId="47" fillId="9" borderId="0" xfId="0" applyFont="true" applyBorder="fals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53" fillId="0" borderId="0" xfId="0" applyFont="true" applyBorder="false" applyAlignment="false" applyProtection="false">
      <alignment horizontal="general" vertical="bottom" textRotation="0" wrapText="false" indent="0" shrinkToFit="false"/>
      <protection locked="true" hidden="false"/>
    </xf>
    <xf numFmtId="164" fontId="134" fillId="2" borderId="0" xfId="0" applyFont="true" applyBorder="false" applyAlignment="true" applyProtection="false">
      <alignment horizontal="general" vertical="top" textRotation="0" wrapText="true" indent="0" shrinkToFit="false"/>
      <protection locked="true" hidden="false"/>
    </xf>
    <xf numFmtId="164" fontId="134" fillId="2" borderId="0" xfId="0" applyFont="true" applyBorder="false" applyAlignment="false" applyProtection="false">
      <alignment horizontal="general" vertical="bottom" textRotation="0" wrapText="false" indent="0" shrinkToFit="false"/>
      <protection locked="true" hidden="false"/>
    </xf>
    <xf numFmtId="164" fontId="154" fillId="4" borderId="0" xfId="0" applyFont="true" applyBorder="true" applyAlignment="true" applyProtection="false">
      <alignment horizontal="left" vertical="top" textRotation="0" wrapText="true" indent="0" shrinkToFit="false"/>
      <protection locked="true" hidden="false"/>
    </xf>
    <xf numFmtId="164" fontId="25" fillId="2" borderId="0" xfId="0" applyFont="true" applyBorder="true" applyAlignment="true" applyProtection="false">
      <alignment horizontal="center" vertical="center" textRotation="0" wrapText="false" indent="0" shrinkToFit="false"/>
      <protection locked="true" hidden="false"/>
    </xf>
    <xf numFmtId="164" fontId="47" fillId="44" borderId="11" xfId="0" applyFont="true" applyBorder="true" applyAlignment="true" applyProtection="false">
      <alignment horizontal="center" vertical="top" textRotation="0" wrapText="true" indent="0" shrinkToFit="false"/>
      <protection locked="true" hidden="false"/>
    </xf>
    <xf numFmtId="164" fontId="47" fillId="44" borderId="11" xfId="0" applyFont="true" applyBorder="true" applyAlignment="true" applyProtection="false">
      <alignment horizontal="center" vertical="center" textRotation="0" wrapText="true" indent="0" shrinkToFit="false"/>
      <protection locked="true" hidden="false"/>
    </xf>
    <xf numFmtId="164" fontId="39" fillId="45" borderId="0" xfId="0" applyFont="true" applyBorder="true" applyAlignment="true" applyProtection="false">
      <alignment horizontal="center" vertical="center" textRotation="0" wrapText="false" indent="0" shrinkToFit="false"/>
      <protection locked="true" hidden="false"/>
    </xf>
    <xf numFmtId="165" fontId="52" fillId="31" borderId="0" xfId="0" applyFont="true" applyBorder="false" applyAlignment="true" applyProtection="false">
      <alignment horizontal="right" vertical="top" textRotation="0" wrapText="true" indent="1" shrinkToFit="false"/>
      <protection locked="true" hidden="false"/>
    </xf>
    <xf numFmtId="165" fontId="155" fillId="21" borderId="0" xfId="0" applyFont="true" applyBorder="false" applyAlignment="true" applyProtection="false">
      <alignment horizontal="right" vertical="top" textRotation="0" wrapText="true" indent="1" shrinkToFit="false"/>
      <protection locked="true" hidden="false"/>
    </xf>
    <xf numFmtId="165" fontId="52" fillId="12" borderId="0" xfId="0" applyFont="true" applyBorder="false" applyAlignment="true" applyProtection="false">
      <alignment horizontal="right" vertical="center" textRotation="0" wrapText="false" indent="1" shrinkToFit="false"/>
      <protection locked="true" hidden="false"/>
    </xf>
    <xf numFmtId="166" fontId="52" fillId="12" borderId="0" xfId="0" applyFont="true" applyBorder="false" applyAlignment="true" applyProtection="false">
      <alignment horizontal="right" vertical="center" textRotation="0" wrapText="false" indent="1" shrinkToFit="false"/>
      <protection locked="true" hidden="false"/>
    </xf>
    <xf numFmtId="164" fontId="156" fillId="31" borderId="12" xfId="0" applyFont="true" applyBorder="true" applyAlignment="true" applyProtection="false">
      <alignment horizontal="center" vertical="center" textRotation="0" wrapText="false" indent="0" shrinkToFit="false"/>
      <protection locked="true" hidden="false"/>
    </xf>
    <xf numFmtId="164" fontId="157" fillId="0" borderId="0" xfId="0" applyFont="true" applyBorder="true" applyAlignment="true" applyProtection="false">
      <alignment horizontal="center" vertical="bottom" textRotation="0" wrapText="false" indent="0" shrinkToFit="false"/>
      <protection locked="true" hidden="false"/>
    </xf>
    <xf numFmtId="164" fontId="158" fillId="0" borderId="0" xfId="0" applyFont="true" applyBorder="false" applyAlignment="true" applyProtection="false">
      <alignment horizontal="right" vertical="bottom" textRotation="0" wrapText="false" indent="1" shrinkToFit="false"/>
      <protection locked="true" hidden="false"/>
    </xf>
    <xf numFmtId="186" fontId="140" fillId="12" borderId="0" xfId="0" applyFont="true" applyBorder="false" applyAlignment="true" applyProtection="false">
      <alignment horizontal="center" vertical="bottom" textRotation="0" wrapText="false" indent="0" shrinkToFit="false"/>
      <protection locked="true" hidden="false"/>
    </xf>
    <xf numFmtId="164" fontId="159" fillId="0" borderId="0" xfId="0" applyFont="true" applyBorder="true" applyAlignment="true" applyProtection="false">
      <alignment horizontal="center" vertical="bottom" textRotation="0" wrapText="false" indent="0" shrinkToFit="false"/>
      <protection locked="true" hidden="false"/>
    </xf>
    <xf numFmtId="165" fontId="160" fillId="31" borderId="0" xfId="0" applyFont="true" applyBorder="true" applyAlignment="true" applyProtection="false">
      <alignment horizontal="center" vertical="center" textRotation="0" wrapText="false" indent="0" shrinkToFit="false"/>
      <protection locked="true" hidden="false"/>
    </xf>
    <xf numFmtId="165" fontId="32" fillId="46" borderId="0" xfId="0" applyFont="true" applyBorder="false" applyAlignment="true" applyProtection="false">
      <alignment horizontal="right" vertical="top" textRotation="0" wrapText="true" indent="1" shrinkToFit="false"/>
      <protection locked="true" hidden="false"/>
    </xf>
    <xf numFmtId="166" fontId="32" fillId="46" borderId="0" xfId="0" applyFont="true" applyBorder="false" applyAlignment="true" applyProtection="false">
      <alignment horizontal="right" vertical="top" textRotation="0" wrapText="true" indent="1" shrinkToFit="false"/>
      <protection locked="true" hidden="false"/>
    </xf>
    <xf numFmtId="167" fontId="32" fillId="46" borderId="0" xfId="0" applyFont="true" applyBorder="false" applyAlignment="true" applyProtection="false">
      <alignment horizontal="right" vertical="center" textRotation="0" wrapText="false" indent="1" shrinkToFit="false"/>
      <protection locked="true" hidden="false"/>
    </xf>
    <xf numFmtId="164" fontId="104" fillId="45" borderId="0" xfId="0" applyFont="true" applyBorder="tru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right" vertical="bottom" textRotation="0" wrapText="false" indent="1" shrinkToFit="false"/>
      <protection locked="true" hidden="false"/>
    </xf>
    <xf numFmtId="164" fontId="161" fillId="4" borderId="0" xfId="0" applyFont="true" applyBorder="false" applyAlignment="true" applyProtection="false">
      <alignment horizontal="left" vertical="top" textRotation="0" wrapText="true" indent="1" shrinkToFit="false"/>
      <protection locked="true" hidden="false"/>
    </xf>
    <xf numFmtId="165" fontId="42" fillId="17" borderId="0" xfId="0" applyFont="true" applyBorder="false" applyAlignment="true" applyProtection="false">
      <alignment horizontal="right" vertical="top" textRotation="0" wrapText="true" indent="1" shrinkToFit="false"/>
      <protection locked="true" hidden="false"/>
    </xf>
    <xf numFmtId="174" fontId="26" fillId="17" borderId="0" xfId="0" applyFont="true" applyBorder="false" applyAlignment="true" applyProtection="false">
      <alignment horizontal="right" vertical="top" textRotation="0" wrapText="true" indent="1" shrinkToFit="false"/>
      <protection locked="true" hidden="false"/>
    </xf>
    <xf numFmtId="167" fontId="26" fillId="17" borderId="0" xfId="0" applyFont="true" applyBorder="false" applyAlignment="true" applyProtection="false">
      <alignment horizontal="right" vertical="center" textRotation="0" wrapText="false" indent="1" shrinkToFit="false"/>
      <protection locked="true" hidden="false"/>
    </xf>
    <xf numFmtId="164" fontId="162" fillId="45" borderId="0" xfId="0" applyFont="true" applyBorder="false" applyAlignment="true" applyProtection="false">
      <alignment horizontal="left" vertical="center" textRotation="0" wrapText="false" indent="1" shrinkToFit="false"/>
      <protection locked="true" hidden="false"/>
    </xf>
    <xf numFmtId="164" fontId="91" fillId="0" borderId="0" xfId="0" applyFont="true" applyBorder="false" applyAlignment="true" applyProtection="false">
      <alignment horizontal="left" vertical="top" textRotation="0" wrapText="true" indent="1" shrinkToFit="false"/>
      <protection locked="true" hidden="false"/>
    </xf>
    <xf numFmtId="165" fontId="163" fillId="31" borderId="0" xfId="0" applyFont="true" applyBorder="false" applyAlignment="true" applyProtection="false">
      <alignment horizontal="right" vertical="top" textRotation="0" wrapText="true" indent="1" shrinkToFit="false"/>
      <protection locked="true" hidden="false"/>
    </xf>
    <xf numFmtId="164" fontId="136" fillId="0" borderId="0" xfId="0" applyFont="true" applyBorder="false" applyAlignment="true" applyProtection="false">
      <alignment horizontal="left" vertical="top" textRotation="0" wrapText="true" indent="1" shrinkToFit="false"/>
      <protection locked="true" hidden="false"/>
    </xf>
    <xf numFmtId="165" fontId="163" fillId="12" borderId="0" xfId="0" applyFont="true" applyBorder="false" applyAlignment="true" applyProtection="false">
      <alignment horizontal="right" vertical="top" textRotation="0" wrapText="true" indent="1" shrinkToFit="false"/>
      <protection locked="true" hidden="false"/>
    </xf>
    <xf numFmtId="164" fontId="85" fillId="0" borderId="0" xfId="0" applyFont="true" applyBorder="false" applyAlignment="true" applyProtection="false">
      <alignment horizontal="general" vertical="top" textRotation="0" wrapText="true" indent="0" shrinkToFit="false"/>
      <protection locked="true" hidden="false"/>
    </xf>
    <xf numFmtId="164" fontId="25" fillId="44" borderId="0" xfId="0" applyFont="true" applyBorder="true" applyAlignment="true" applyProtection="false">
      <alignment horizontal="left" vertical="top" textRotation="0" wrapText="true" indent="1" shrinkToFit="false"/>
      <protection locked="true" hidden="false"/>
    </xf>
    <xf numFmtId="164" fontId="162" fillId="0" borderId="0" xfId="0" applyFont="true" applyBorder="true" applyAlignment="true" applyProtection="false">
      <alignment horizontal="left" vertical="top" textRotation="0" wrapText="true" indent="1" shrinkToFit="false"/>
      <protection locked="true" hidden="false"/>
    </xf>
    <xf numFmtId="164" fontId="144" fillId="0" borderId="0" xfId="0" applyFont="true" applyBorder="false" applyAlignment="true" applyProtection="false">
      <alignment horizontal="left" vertical="top" textRotation="0" wrapText="true" indent="1" shrinkToFit="false"/>
      <protection locked="true" hidden="false"/>
    </xf>
    <xf numFmtId="165" fontId="140" fillId="31" borderId="13" xfId="0" applyFont="true" applyBorder="true" applyAlignment="true" applyProtection="false">
      <alignment horizontal="right" vertical="top" textRotation="0" wrapText="true" indent="1" shrinkToFit="false"/>
      <protection locked="true" hidden="false"/>
    </xf>
    <xf numFmtId="166" fontId="163" fillId="12" borderId="0" xfId="0" applyFont="true" applyBorder="false" applyAlignment="true" applyProtection="false">
      <alignment horizontal="right" vertical="center" textRotation="0" wrapText="false" indent="1" shrinkToFit="false"/>
      <protection locked="true" hidden="false"/>
    </xf>
    <xf numFmtId="165" fontId="163" fillId="46" borderId="0" xfId="0" applyFont="true" applyBorder="false" applyAlignment="true" applyProtection="false">
      <alignment horizontal="right" vertical="top" textRotation="0" wrapText="true" indent="1" shrinkToFit="false"/>
      <protection locked="true" hidden="false"/>
    </xf>
    <xf numFmtId="185" fontId="163" fillId="31" borderId="0" xfId="0" applyFont="true" applyBorder="false" applyAlignment="true" applyProtection="false">
      <alignment horizontal="right" vertical="top" textRotation="0" wrapText="true" indent="1" shrinkToFit="false"/>
      <protection locked="true" hidden="false"/>
    </xf>
    <xf numFmtId="166" fontId="163" fillId="12" borderId="0" xfId="0" applyFont="true" applyBorder="false" applyAlignment="true" applyProtection="false">
      <alignment horizontal="right" vertical="top" textRotation="0" wrapText="true" indent="1" shrinkToFit="false"/>
      <protection locked="true" hidden="false"/>
    </xf>
    <xf numFmtId="188" fontId="163" fillId="12" borderId="0" xfId="0" applyFont="true" applyBorder="false" applyAlignment="true" applyProtection="false">
      <alignment horizontal="right" vertical="top" textRotation="0" wrapText="true" indent="1" shrinkToFit="false"/>
      <protection locked="true" hidden="false"/>
    </xf>
    <xf numFmtId="164" fontId="154" fillId="4" borderId="0" xfId="0" applyFont="true" applyBorder="true" applyAlignment="true" applyProtection="false">
      <alignment horizontal="left" vertical="top" textRotation="0" wrapText="true" indent="1" shrinkToFit="false"/>
      <protection locked="true" hidden="false"/>
    </xf>
    <xf numFmtId="164" fontId="164" fillId="4" borderId="0" xfId="0" applyFont="true" applyBorder="false" applyAlignment="true" applyProtection="false">
      <alignment horizontal="center" vertical="center" textRotation="0" wrapText="false" indent="0" shrinkToFit="false"/>
      <protection locked="true" hidden="false"/>
    </xf>
    <xf numFmtId="164" fontId="165" fillId="12" borderId="0" xfId="0" applyFont="true" applyBorder="false" applyAlignment="true" applyProtection="false">
      <alignment horizontal="center" vertical="center" textRotation="0" wrapText="false" indent="0" shrinkToFit="false"/>
      <protection locked="true" hidden="false"/>
    </xf>
    <xf numFmtId="167" fontId="166" fillId="31" borderId="13" xfId="0" applyFont="true" applyBorder="true" applyAlignment="true" applyProtection="false">
      <alignment horizontal="center" vertical="center" textRotation="0" wrapText="false" indent="0" shrinkToFit="false"/>
      <protection locked="true" hidden="false"/>
    </xf>
    <xf numFmtId="167" fontId="140" fillId="31" borderId="13" xfId="0" applyFont="true" applyBorder="true" applyAlignment="true" applyProtection="false">
      <alignment horizontal="center" vertical="center" textRotation="0" wrapText="false" indent="0" shrinkToFit="false"/>
      <protection locked="true" hidden="false"/>
    </xf>
    <xf numFmtId="167" fontId="166" fillId="31" borderId="13" xfId="0" applyFont="true" applyBorder="true" applyAlignment="true" applyProtection="false">
      <alignment horizontal="center" vertical="top" textRotation="0" wrapText="true" indent="0" shrinkToFit="false"/>
      <protection locked="true" hidden="false"/>
    </xf>
    <xf numFmtId="174" fontId="166" fillId="31" borderId="13" xfId="0" applyFont="true" applyBorder="true" applyAlignment="true" applyProtection="false">
      <alignment horizontal="center" vertical="center" textRotation="0" wrapText="false" indent="0" shrinkToFit="false"/>
      <protection locked="true" hidden="false"/>
    </xf>
    <xf numFmtId="174" fontId="140" fillId="31" borderId="13" xfId="0" applyFont="true" applyBorder="true" applyAlignment="true" applyProtection="false">
      <alignment horizontal="center" vertical="center" textRotation="0" wrapText="false" indent="0" shrinkToFit="false"/>
      <protection locked="true" hidden="false"/>
    </xf>
    <xf numFmtId="174" fontId="166" fillId="31" borderId="13" xfId="0" applyFont="true" applyBorder="true" applyAlignment="true" applyProtection="false">
      <alignment horizontal="center" vertical="top" textRotation="0" wrapText="true" indent="0" shrinkToFit="false"/>
      <protection locked="true" hidden="false"/>
    </xf>
    <xf numFmtId="167" fontId="136" fillId="0" borderId="0" xfId="0" applyFont="true" applyBorder="false" applyAlignment="true" applyProtection="false">
      <alignment horizontal="right" vertical="bottom" textRotation="0" wrapText="false" indent="1" shrinkToFit="false"/>
      <protection locked="true" hidden="false"/>
    </xf>
    <xf numFmtId="165" fontId="166" fillId="31" borderId="13" xfId="0" applyFont="true" applyBorder="true" applyAlignment="true" applyProtection="false">
      <alignment horizontal="center" vertical="center" textRotation="0" wrapText="false" indent="0" shrinkToFit="false"/>
      <protection locked="true" hidden="false"/>
    </xf>
    <xf numFmtId="165" fontId="140" fillId="31" borderId="13" xfId="0" applyFont="true" applyBorder="true" applyAlignment="true" applyProtection="false">
      <alignment horizontal="center" vertical="center" textRotation="0" wrapText="false" indent="0" shrinkToFit="false"/>
      <protection locked="true" hidden="false"/>
    </xf>
    <xf numFmtId="165" fontId="166" fillId="31" borderId="13" xfId="0" applyFont="true" applyBorder="true" applyAlignment="true" applyProtection="false">
      <alignment horizontal="center" vertical="top" textRotation="0" wrapText="true" indent="0" shrinkToFit="false"/>
      <protection locked="true" hidden="false"/>
    </xf>
    <xf numFmtId="167" fontId="167" fillId="12" borderId="13" xfId="0" applyFont="true" applyBorder="true" applyAlignment="true" applyProtection="false">
      <alignment horizontal="right" vertical="center" textRotation="0" wrapText="false" indent="1" shrinkToFit="false"/>
      <protection locked="true" hidden="false"/>
    </xf>
    <xf numFmtId="164" fontId="168" fillId="45" borderId="0" xfId="0" applyFont="true" applyBorder="false" applyAlignment="true" applyProtection="false">
      <alignment horizontal="left" vertical="center" textRotation="0" wrapText="false" indent="1" shrinkToFit="false"/>
      <protection locked="true" hidden="false"/>
    </xf>
    <xf numFmtId="167" fontId="24" fillId="46" borderId="0" xfId="0" applyFont="true" applyBorder="false" applyAlignment="true" applyProtection="false">
      <alignment horizontal="right" vertical="center" textRotation="0" wrapText="false" indent="1" shrinkToFit="false"/>
      <protection locked="true" hidden="false"/>
    </xf>
    <xf numFmtId="164" fontId="24" fillId="45" borderId="0" xfId="0" applyFont="true" applyBorder="true" applyAlignment="true" applyProtection="false">
      <alignment horizontal="left" vertical="top" textRotation="0" wrapText="true" indent="0" shrinkToFit="false"/>
      <protection locked="true" hidden="false"/>
    </xf>
    <xf numFmtId="174" fontId="145" fillId="12" borderId="13" xfId="0" applyFont="true" applyBorder="true" applyAlignment="true" applyProtection="false">
      <alignment horizontal="right" vertical="center" textRotation="0" wrapText="false" indent="1" shrinkToFit="false"/>
      <protection locked="true" hidden="false"/>
    </xf>
    <xf numFmtId="164" fontId="169" fillId="0" borderId="0" xfId="0" applyFont="true" applyBorder="false" applyAlignment="true" applyProtection="false">
      <alignment horizontal="left" vertical="center" textRotation="0" wrapText="false" indent="1" shrinkToFit="false"/>
      <protection locked="true" hidden="false"/>
    </xf>
    <xf numFmtId="174" fontId="140" fillId="31" borderId="13" xfId="0" applyFont="true" applyBorder="true" applyAlignment="true" applyProtection="false">
      <alignment horizontal="right" vertical="center" textRotation="0" wrapText="false" indent="1" shrinkToFit="false"/>
      <protection locked="true" hidden="false"/>
    </xf>
    <xf numFmtId="174" fontId="163" fillId="31" borderId="0" xfId="0" applyFont="true" applyBorder="false" applyAlignment="true" applyProtection="false">
      <alignment horizontal="right" vertical="center" textRotation="0" wrapText="false" indent="1" shrinkToFit="false"/>
      <protection locked="true" hidden="false"/>
    </xf>
    <xf numFmtId="176" fontId="170" fillId="45" borderId="0" xfId="0" applyFont="true" applyBorder="false" applyAlignment="true" applyProtection="false">
      <alignment horizontal="right" vertical="center" textRotation="0" wrapText="false" indent="1" shrinkToFit="false"/>
      <protection locked="true" hidden="false"/>
    </xf>
    <xf numFmtId="176" fontId="140" fillId="31" borderId="13" xfId="0" applyFont="true" applyBorder="true" applyAlignment="true" applyProtection="false">
      <alignment horizontal="right" vertical="center" textRotation="0" wrapText="false" indent="1" shrinkToFit="false"/>
      <protection locked="true" hidden="false"/>
    </xf>
    <xf numFmtId="182" fontId="32" fillId="46" borderId="0" xfId="0" applyFont="true" applyBorder="false" applyAlignment="true" applyProtection="false">
      <alignment horizontal="right" vertical="center" textRotation="0" wrapText="false" indent="1" shrinkToFit="false"/>
      <protection locked="true" hidden="false"/>
    </xf>
    <xf numFmtId="164" fontId="91" fillId="0" borderId="0" xfId="0" applyFont="true" applyBorder="true" applyAlignment="true" applyProtection="false">
      <alignment horizontal="left" vertical="top" textRotation="0" wrapText="true" indent="0" shrinkToFit="false"/>
      <protection locked="true" hidden="false"/>
    </xf>
    <xf numFmtId="182" fontId="140" fillId="31" borderId="13" xfId="0" applyFont="true" applyBorder="true" applyAlignment="true" applyProtection="false">
      <alignment horizontal="right" vertical="center" textRotation="0" wrapText="false" indent="1" shrinkToFit="false"/>
      <protection locked="true" hidden="false"/>
    </xf>
    <xf numFmtId="182" fontId="24" fillId="46" borderId="0" xfId="0" applyFont="true" applyBorder="false" applyAlignment="true" applyProtection="false">
      <alignment horizontal="right" vertical="center" textRotation="0" wrapText="false" indent="1" shrinkToFit="false"/>
      <protection locked="true" hidden="false"/>
    </xf>
    <xf numFmtId="174" fontId="136" fillId="12" borderId="13" xfId="0" applyFont="true" applyBorder="true" applyAlignment="true" applyProtection="false">
      <alignment horizontal="right" vertical="center" textRotation="0" wrapText="false" indent="1" shrinkToFit="false"/>
      <protection locked="true" hidden="false"/>
    </xf>
    <xf numFmtId="165" fontId="140" fillId="31" borderId="13" xfId="0" applyFont="true" applyBorder="true" applyAlignment="true" applyProtection="false">
      <alignment horizontal="right" vertical="center" textRotation="0" wrapText="false" indent="1" shrinkToFit="false"/>
      <protection locked="true" hidden="false"/>
    </xf>
    <xf numFmtId="165" fontId="136" fillId="12" borderId="13" xfId="0" applyFont="true" applyBorder="true" applyAlignment="true" applyProtection="false">
      <alignment horizontal="right" vertical="center" textRotation="0" wrapText="false" indent="1" shrinkToFit="false"/>
      <protection locked="true" hidden="false"/>
    </xf>
    <xf numFmtId="181" fontId="24" fillId="46" borderId="0" xfId="0" applyFont="true" applyBorder="false" applyAlignment="true" applyProtection="false">
      <alignment horizontal="right" vertical="center" textRotation="0" wrapText="false" indent="1" shrinkToFit="false"/>
      <protection locked="true" hidden="false"/>
    </xf>
    <xf numFmtId="164" fontId="171" fillId="0" borderId="0" xfId="0" applyFont="true" applyBorder="false" applyAlignment="true" applyProtection="false">
      <alignment horizontal="left" vertical="top" textRotation="0" wrapText="true" indent="0" shrinkToFit="false"/>
      <protection locked="true" hidden="false"/>
    </xf>
    <xf numFmtId="176" fontId="32" fillId="46" borderId="0" xfId="0" applyFont="true" applyBorder="false" applyAlignment="true" applyProtection="false">
      <alignment horizontal="right" vertical="center" textRotation="0" wrapText="false" indent="1" shrinkToFit="false"/>
      <protection locked="true" hidden="false"/>
    </xf>
    <xf numFmtId="164" fontId="91" fillId="0" borderId="0" xfId="0" applyFont="true" applyBorder="true" applyAlignment="true" applyProtection="false">
      <alignment horizontal="left" vertical="top" textRotation="0" wrapText="true" indent="1" shrinkToFit="false"/>
      <protection locked="true" hidden="false"/>
    </xf>
    <xf numFmtId="181" fontId="140" fillId="31" borderId="13" xfId="0" applyFont="true" applyBorder="true" applyAlignment="true" applyProtection="false">
      <alignment horizontal="right" vertical="center" textRotation="0" wrapText="false" indent="1" shrinkToFit="false"/>
      <protection locked="true" hidden="false"/>
    </xf>
    <xf numFmtId="165" fontId="145" fillId="12" borderId="13" xfId="0" applyFont="true" applyBorder="true" applyAlignment="true" applyProtection="false">
      <alignment horizontal="right" vertical="center" textRotation="0" wrapText="false" indent="1" shrinkToFit="false"/>
      <protection locked="true" hidden="false"/>
    </xf>
    <xf numFmtId="164" fontId="172" fillId="0" borderId="0" xfId="0" applyFont="true" applyBorder="false" applyAlignment="true" applyProtection="false">
      <alignment horizontal="left" vertical="center" textRotation="0" wrapText="false" indent="1" shrinkToFit="false"/>
      <protection locked="true" hidden="false"/>
    </xf>
    <xf numFmtId="165" fontId="24" fillId="46" borderId="0" xfId="0" applyFont="true" applyBorder="false" applyAlignment="true" applyProtection="false">
      <alignment horizontal="right" vertical="center" textRotation="0" wrapText="false" indent="1" shrinkToFit="false"/>
      <protection locked="true" hidden="false"/>
    </xf>
    <xf numFmtId="164" fontId="27" fillId="46" borderId="0" xfId="0" applyFont="true" applyBorder="false" applyAlignment="true" applyProtection="false">
      <alignment horizontal="left" vertical="top" textRotation="0" wrapText="true" indent="0" shrinkToFit="false"/>
      <protection locked="true" hidden="false"/>
    </xf>
    <xf numFmtId="165" fontId="136" fillId="12" borderId="13" xfId="0" applyFont="true" applyBorder="true" applyAlignment="true" applyProtection="false">
      <alignment horizontal="right" vertical="bottom" textRotation="0" wrapText="false" indent="1" shrinkToFit="false"/>
      <protection locked="true" hidden="false"/>
    </xf>
    <xf numFmtId="164" fontId="173" fillId="0" borderId="0" xfId="0" applyFont="true" applyBorder="true" applyAlignment="true" applyProtection="false">
      <alignment horizontal="left" vertical="top" textRotation="0" wrapText="true" indent="0" shrinkToFit="false"/>
      <protection locked="true" hidden="false"/>
    </xf>
    <xf numFmtId="164" fontId="39" fillId="0" borderId="0" xfId="0" applyFont="true" applyBorder="false" applyAlignment="false" applyProtection="false">
      <alignment horizontal="general" vertical="bottom" textRotation="0" wrapText="false" indent="0" shrinkToFit="false"/>
      <protection locked="true" hidden="false"/>
    </xf>
    <xf numFmtId="164" fontId="168" fillId="45" borderId="0" xfId="0" applyFont="true" applyBorder="false" applyAlignment="false" applyProtection="false">
      <alignment horizontal="general" vertical="bottom" textRotation="0" wrapText="false" indent="0" shrinkToFit="false"/>
      <protection locked="true" hidden="false"/>
    </xf>
    <xf numFmtId="166" fontId="140" fillId="31" borderId="13" xfId="0" applyFont="true" applyBorder="true" applyAlignment="true" applyProtection="false">
      <alignment horizontal="right" vertical="center" textRotation="0" wrapText="false" indent="1" shrinkToFit="false"/>
      <protection locked="true" hidden="false"/>
    </xf>
    <xf numFmtId="164" fontId="39" fillId="45" borderId="0" xfId="0" applyFont="true" applyBorder="true" applyAlignment="true" applyProtection="false">
      <alignment horizontal="left" vertical="top" textRotation="0" wrapText="true" indent="1" shrinkToFit="false"/>
      <protection locked="true" hidden="false"/>
    </xf>
    <xf numFmtId="164" fontId="174" fillId="45" borderId="0" xfId="0" applyFont="true" applyBorder="true" applyAlignment="true" applyProtection="false">
      <alignment horizontal="left" vertical="top" textRotation="0" wrapText="true" indent="1" shrinkToFit="false"/>
      <protection locked="true" hidden="false"/>
    </xf>
    <xf numFmtId="187" fontId="140" fillId="31" borderId="13" xfId="0" applyFont="true" applyBorder="true" applyAlignment="true" applyProtection="false">
      <alignment horizontal="center" vertical="center" textRotation="0" wrapText="false" indent="0" shrinkToFit="false"/>
      <protection locked="true" hidden="false"/>
    </xf>
    <xf numFmtId="167" fontId="145" fillId="12" borderId="13" xfId="0" applyFont="true" applyBorder="true" applyAlignment="true" applyProtection="false">
      <alignment horizontal="right" vertical="center" textRotation="0" wrapText="false" indent="1" shrinkToFit="false"/>
      <protection locked="true" hidden="false"/>
    </xf>
    <xf numFmtId="164" fontId="172" fillId="12" borderId="0" xfId="0" applyFont="true" applyBorder="false" applyAlignment="true" applyProtection="false">
      <alignment horizontal="left" vertical="center" textRotation="0" wrapText="false" indent="1" shrinkToFit="false"/>
      <protection locked="true" hidden="false"/>
    </xf>
    <xf numFmtId="167" fontId="52" fillId="12" borderId="0" xfId="0" applyFont="true" applyBorder="false" applyAlignment="true" applyProtection="false">
      <alignment horizontal="right" vertical="center" textRotation="0" wrapText="false" indent="1" shrinkToFit="false"/>
      <protection locked="true" hidden="false"/>
    </xf>
    <xf numFmtId="164" fontId="175" fillId="12" borderId="0" xfId="0" applyFont="true" applyBorder="false" applyAlignment="true" applyProtection="false">
      <alignment horizontal="left" vertical="center" textRotation="0" wrapText="false" indent="1" shrinkToFit="false"/>
      <protection locked="true" hidden="false"/>
    </xf>
    <xf numFmtId="167" fontId="39" fillId="46" borderId="0" xfId="0" applyFont="true" applyBorder="false" applyAlignment="true" applyProtection="false">
      <alignment horizontal="right" vertical="center" textRotation="0" wrapText="false" indent="1" shrinkToFit="false"/>
      <protection locked="true" hidden="false"/>
    </xf>
    <xf numFmtId="166" fontId="39" fillId="46" borderId="0" xfId="0" applyFont="true" applyBorder="false" applyAlignment="true" applyProtection="false">
      <alignment horizontal="right" vertical="center" textRotation="0" wrapText="false" indent="1" shrinkToFit="false"/>
      <protection locked="true" hidden="false"/>
    </xf>
    <xf numFmtId="167" fontId="163" fillId="31" borderId="0" xfId="0" applyFont="true" applyBorder="false" applyAlignment="true" applyProtection="false">
      <alignment horizontal="right" vertical="center" textRotation="0" wrapText="false" indent="1" shrinkToFit="false"/>
      <protection locked="true" hidden="false"/>
    </xf>
    <xf numFmtId="164" fontId="176" fillId="0" borderId="0" xfId="0" applyFont="true" applyBorder="false" applyAlignment="true" applyProtection="false">
      <alignment horizontal="left" vertical="top" textRotation="0" wrapText="true" indent="1" shrinkToFit="false"/>
      <protection locked="true" hidden="false"/>
    </xf>
    <xf numFmtId="167" fontId="176" fillId="46" borderId="0" xfId="0" applyFont="true" applyBorder="false" applyAlignment="true" applyProtection="false">
      <alignment horizontal="right" vertical="center" textRotation="0" wrapText="false" indent="1" shrinkToFit="false"/>
      <protection locked="true" hidden="false"/>
    </xf>
    <xf numFmtId="164" fontId="177" fillId="0" borderId="0" xfId="0" applyFont="true" applyBorder="false" applyAlignment="true" applyProtection="false">
      <alignment horizontal="left" vertical="top" textRotation="0" wrapText="true" indent="1" shrinkToFit="false"/>
      <protection locked="true" hidden="false"/>
    </xf>
    <xf numFmtId="167" fontId="177" fillId="46" borderId="0" xfId="0" applyFont="true" applyBorder="false" applyAlignment="true" applyProtection="false">
      <alignment horizontal="right" vertical="center" textRotation="0" wrapText="false" indent="1" shrinkToFit="false"/>
      <protection locked="true" hidden="false"/>
    </xf>
    <xf numFmtId="167" fontId="178" fillId="46" borderId="0" xfId="0" applyFont="true" applyBorder="false" applyAlignment="true" applyProtection="false">
      <alignment horizontal="right" vertical="center" textRotation="0" wrapText="false" indent="1" shrinkToFit="false"/>
      <protection locked="true" hidden="false"/>
    </xf>
    <xf numFmtId="165" fontId="24" fillId="12" borderId="0" xfId="0" applyFont="true" applyBorder="false" applyAlignment="true" applyProtection="false">
      <alignment horizontal="right" vertical="center" textRotation="0" wrapText="false" indent="1" shrinkToFit="false"/>
      <protection locked="true" hidden="false"/>
    </xf>
    <xf numFmtId="165" fontId="176" fillId="46" borderId="0" xfId="0" applyFont="true" applyBorder="false" applyAlignment="true" applyProtection="false">
      <alignment horizontal="right" vertical="center" textRotation="0" wrapText="false" indent="1" shrinkToFit="false"/>
      <protection locked="true" hidden="false"/>
    </xf>
    <xf numFmtId="164" fontId="179" fillId="47" borderId="0" xfId="0" applyFont="true" applyBorder="true" applyAlignment="true" applyProtection="false">
      <alignment horizontal="left" vertical="top" textRotation="0" wrapText="true" indent="1" shrinkToFit="false"/>
      <protection locked="true" hidden="false"/>
    </xf>
    <xf numFmtId="167" fontId="180" fillId="46" borderId="0" xfId="0" applyFont="true" applyBorder="false" applyAlignment="true" applyProtection="false">
      <alignment horizontal="right" vertical="center" textRotation="0" wrapText="false" indent="1" shrinkToFit="false"/>
      <protection locked="true" hidden="false"/>
    </xf>
    <xf numFmtId="176" fontId="51" fillId="46" borderId="0" xfId="0" applyFont="true" applyBorder="false" applyAlignment="true" applyProtection="false">
      <alignment horizontal="right" vertical="center" textRotation="0" wrapText="false" indent="1" shrinkToFit="false"/>
      <protection locked="true" hidden="false"/>
    </xf>
    <xf numFmtId="175" fontId="24" fillId="46" borderId="0" xfId="0" applyFont="true" applyBorder="false" applyAlignment="true" applyProtection="false">
      <alignment horizontal="right" vertical="center" textRotation="0" wrapText="false" indent="1" shrinkToFit="false"/>
      <protection locked="true" hidden="false"/>
    </xf>
    <xf numFmtId="164" fontId="159" fillId="45" borderId="0" xfId="0" applyFont="true" applyBorder="true" applyAlignment="true" applyProtection="false">
      <alignment horizontal="left" vertical="top" textRotation="0" wrapText="true" indent="1" shrinkToFit="false"/>
      <protection locked="true" hidden="false"/>
    </xf>
    <xf numFmtId="164" fontId="181" fillId="0" borderId="0" xfId="0" applyFont="true" applyBorder="false" applyAlignment="true" applyProtection="false">
      <alignment horizontal="left" vertical="top" textRotation="0" wrapText="true" indent="1" shrinkToFit="false"/>
      <protection locked="true" hidden="false"/>
    </xf>
    <xf numFmtId="167" fontId="136" fillId="12" borderId="0" xfId="0" applyFont="true" applyBorder="false" applyAlignment="true" applyProtection="false">
      <alignment horizontal="right" vertical="center" textRotation="0" wrapText="false" indent="1" shrinkToFit="false"/>
      <protection locked="true" hidden="false"/>
    </xf>
    <xf numFmtId="164" fontId="39" fillId="0" borderId="0" xfId="0" applyFont="true" applyBorder="false" applyAlignment="true" applyProtection="false">
      <alignment horizontal="left" vertical="bottom" textRotation="0" wrapText="false" indent="1" shrinkToFit="false"/>
      <protection locked="true" hidden="false"/>
    </xf>
    <xf numFmtId="174" fontId="140" fillId="31" borderId="13" xfId="0" applyFont="true" applyBorder="true" applyAlignment="true" applyProtection="false">
      <alignment horizontal="right" vertical="top" textRotation="0" wrapText="true" indent="1" shrinkToFit="false"/>
      <protection locked="true" hidden="false"/>
    </xf>
    <xf numFmtId="174" fontId="163" fillId="12" borderId="0" xfId="0" applyFont="true" applyBorder="false" applyAlignment="true" applyProtection="false">
      <alignment horizontal="right" vertical="center" textRotation="0" wrapText="false" indent="1" shrinkToFit="false"/>
      <protection locked="true" hidden="false"/>
    </xf>
    <xf numFmtId="167" fontId="39" fillId="46" borderId="0" xfId="0" applyFont="true" applyBorder="false" applyAlignment="true" applyProtection="false">
      <alignment horizontal="right" vertical="top" textRotation="0" wrapText="true" indent="1" shrinkToFit="false"/>
      <protection locked="true" hidden="false"/>
    </xf>
    <xf numFmtId="188" fontId="140" fillId="31" borderId="13" xfId="0" applyFont="true" applyBorder="true" applyAlignment="true" applyProtection="false">
      <alignment horizontal="right" vertical="center" textRotation="0" wrapText="false" indent="1" shrinkToFit="false"/>
      <protection locked="true" hidden="false"/>
    </xf>
    <xf numFmtId="176" fontId="24" fillId="46" borderId="0" xfId="0" applyFont="true" applyBorder="false" applyAlignment="true" applyProtection="false">
      <alignment horizontal="right" vertical="center" textRotation="0" wrapText="false" indent="1" shrinkToFit="false"/>
      <protection locked="true" hidden="false"/>
    </xf>
    <xf numFmtId="188" fontId="24" fillId="46" borderId="0" xfId="0" applyFont="true" applyBorder="false" applyAlignment="true" applyProtection="false">
      <alignment horizontal="right" vertical="center" textRotation="0" wrapText="false" indent="1" shrinkToFit="false"/>
      <protection locked="true" hidden="false"/>
    </xf>
    <xf numFmtId="203" fontId="136" fillId="12" borderId="0" xfId="0" applyFont="true" applyBorder="false" applyAlignment="true" applyProtection="false">
      <alignment horizontal="right" vertical="center" textRotation="0" wrapText="false" indent="1" shrinkToFit="false"/>
      <protection locked="true" hidden="false"/>
    </xf>
    <xf numFmtId="167" fontId="107" fillId="5" borderId="0" xfId="0" applyFont="true" applyBorder="false" applyAlignment="true" applyProtection="false">
      <alignment horizontal="right" vertical="center" textRotation="0" wrapText="false" indent="1" shrinkToFit="false"/>
      <protection locked="true" hidden="false"/>
    </xf>
    <xf numFmtId="181" fontId="107" fillId="5" borderId="0" xfId="0" applyFont="true" applyBorder="false" applyAlignment="true" applyProtection="false">
      <alignment horizontal="right" vertical="center" textRotation="0" wrapText="false" indent="1" shrinkToFit="false"/>
      <protection locked="true" hidden="false"/>
    </xf>
    <xf numFmtId="164" fontId="94" fillId="8" borderId="0" xfId="0" applyFont="true" applyBorder="false" applyAlignment="true" applyProtection="false">
      <alignment horizontal="left" vertical="top" textRotation="0" wrapText="true" indent="1" shrinkToFit="false"/>
      <protection locked="true" hidden="false"/>
    </xf>
    <xf numFmtId="165" fontId="94" fillId="8" borderId="0" xfId="0" applyFont="true" applyBorder="false" applyAlignment="true" applyProtection="false">
      <alignment horizontal="right" vertical="center" textRotation="0" wrapText="false" indent="1" shrinkToFit="false"/>
      <protection locked="true" hidden="false"/>
    </xf>
    <xf numFmtId="164" fontId="97" fillId="8" borderId="0" xfId="0" applyFont="true" applyBorder="false" applyAlignment="true" applyProtection="false">
      <alignment horizontal="left" vertical="center" textRotation="0" wrapText="false" indent="1" shrinkToFit="false"/>
      <protection locked="true" hidden="false"/>
    </xf>
    <xf numFmtId="164" fontId="145" fillId="12" borderId="0" xfId="0" applyFont="true" applyBorder="false" applyAlignment="true" applyProtection="false">
      <alignment horizontal="center" vertical="center" textRotation="0" wrapText="false" indent="0" shrinkToFit="false"/>
      <protection locked="true" hidden="false"/>
    </xf>
    <xf numFmtId="164" fontId="134" fillId="0" borderId="0" xfId="0" applyFont="true" applyBorder="false" applyAlignment="true" applyProtection="false">
      <alignment horizontal="left" vertical="top" textRotation="0" wrapText="true" indent="1" shrinkToFit="false"/>
      <protection locked="true" hidden="false"/>
    </xf>
    <xf numFmtId="176" fontId="140" fillId="31" borderId="0" xfId="0" applyFont="true" applyBorder="false" applyAlignment="true" applyProtection="false">
      <alignment horizontal="right" vertical="center" textRotation="0" wrapText="false" indent="1" shrinkToFit="false"/>
      <protection locked="true" hidden="false"/>
    </xf>
    <xf numFmtId="176" fontId="24" fillId="12" borderId="0" xfId="0" applyFont="true" applyBorder="false" applyAlignment="true" applyProtection="false">
      <alignment horizontal="right" vertical="center" textRotation="0" wrapText="false" indent="1" shrinkToFit="false"/>
      <protection locked="true" hidden="false"/>
    </xf>
    <xf numFmtId="167" fontId="24" fillId="12" borderId="0" xfId="0" applyFont="true" applyBorder="false" applyAlignment="true" applyProtection="false">
      <alignment horizontal="right" vertical="center" textRotation="0" wrapText="false" indent="1" shrinkToFit="false"/>
      <protection locked="true" hidden="false"/>
    </xf>
    <xf numFmtId="164" fontId="25" fillId="2" borderId="0" xfId="0" applyFont="true" applyBorder="false" applyAlignment="true" applyProtection="false">
      <alignment horizontal="left" vertical="top" textRotation="0" wrapText="true" indent="1" shrinkToFit="false"/>
      <protection locked="true" hidden="false"/>
    </xf>
    <xf numFmtId="167" fontId="36" fillId="0" borderId="0" xfId="0" applyFont="true" applyBorder="false" applyAlignment="true" applyProtection="false">
      <alignment horizontal="right" vertical="center" textRotation="0" wrapText="false" indent="1" shrinkToFit="false"/>
      <protection locked="true" hidden="false"/>
    </xf>
    <xf numFmtId="182" fontId="12" fillId="31" borderId="0" xfId="0" applyFont="true" applyBorder="false" applyAlignment="true" applyProtection="false">
      <alignment horizontal="right" vertical="center" textRotation="0" wrapText="false" indent="1" shrinkToFit="false"/>
      <protection locked="true" hidden="false"/>
    </xf>
    <xf numFmtId="165" fontId="12" fillId="31" borderId="0" xfId="0" applyFont="true" applyBorder="false" applyAlignment="true" applyProtection="false">
      <alignment horizontal="right" vertical="center" textRotation="0" wrapText="false" indent="1" shrinkToFit="false"/>
      <protection locked="true" hidden="false"/>
    </xf>
    <xf numFmtId="164" fontId="182" fillId="31" borderId="0" xfId="0" applyFont="true" applyBorder="true" applyAlignment="true" applyProtection="false">
      <alignment horizontal="center" vertical="top" textRotation="0" wrapText="true" indent="0" shrinkToFit="false"/>
      <protection locked="true" hidden="false"/>
    </xf>
    <xf numFmtId="164" fontId="158" fillId="45" borderId="0" xfId="0" applyFont="true" applyBorder="false" applyAlignment="true" applyProtection="false">
      <alignment horizontal="left" vertical="center" textRotation="0" wrapText="false" indent="1" shrinkToFit="false"/>
      <protection locked="true" hidden="false"/>
    </xf>
    <xf numFmtId="167" fontId="183" fillId="46" borderId="0" xfId="0" applyFont="true" applyBorder="false" applyAlignment="true" applyProtection="false">
      <alignment horizontal="right" vertical="center" textRotation="0" wrapText="false" indent="1" shrinkToFit="false"/>
      <protection locked="true" hidden="false"/>
    </xf>
    <xf numFmtId="164" fontId="158" fillId="0" borderId="0" xfId="0" applyFont="true" applyBorder="false" applyAlignment="true" applyProtection="false">
      <alignment horizontal="center" vertical="top" textRotation="0" wrapText="true" indent="0" shrinkToFit="false"/>
      <protection locked="true" hidden="false"/>
    </xf>
    <xf numFmtId="164" fontId="184" fillId="31" borderId="0" xfId="0" applyFont="true" applyBorder="false" applyAlignment="true" applyProtection="false">
      <alignment horizontal="center" vertical="bottom" textRotation="0" wrapText="false" indent="0" shrinkToFit="false"/>
      <protection locked="true" hidden="false"/>
    </xf>
    <xf numFmtId="164" fontId="30" fillId="2" borderId="0" xfId="0" applyFont="true" applyBorder="false" applyAlignment="true" applyProtection="false">
      <alignment horizontal="center" vertical="bottom" textRotation="0" wrapText="false" indent="0" shrinkToFit="false"/>
      <protection locked="true" hidden="false"/>
    </xf>
    <xf numFmtId="164" fontId="172" fillId="12" borderId="0" xfId="0" applyFont="true" applyBorder="false" applyAlignment="false" applyProtection="false">
      <alignment horizontal="general" vertical="bottom" textRotation="0" wrapText="false" indent="0" shrinkToFit="false"/>
      <protection locked="true" hidden="false"/>
    </xf>
    <xf numFmtId="174" fontId="183" fillId="46" borderId="0" xfId="0" applyFont="true" applyBorder="false" applyAlignment="true" applyProtection="false">
      <alignment horizontal="right" vertical="center" textRotation="0" wrapText="false" indent="1" shrinkToFit="false"/>
      <protection locked="true" hidden="false"/>
    </xf>
    <xf numFmtId="176" fontId="183" fillId="46" borderId="0" xfId="0" applyFont="true" applyBorder="false" applyAlignment="true" applyProtection="false">
      <alignment horizontal="right" vertical="center" textRotation="0" wrapText="false" indent="1" shrinkToFit="false"/>
      <protection locked="true" hidden="false"/>
    </xf>
    <xf numFmtId="165" fontId="183" fillId="46" borderId="0" xfId="0" applyFont="true" applyBorder="false" applyAlignment="true" applyProtection="false">
      <alignment horizontal="right" vertical="center" textRotation="0" wrapText="false" indent="1" shrinkToFit="false"/>
      <protection locked="true" hidden="false"/>
    </xf>
    <xf numFmtId="164" fontId="30" fillId="48" borderId="0" xfId="0" applyFont="true" applyBorder="false" applyAlignment="true" applyProtection="false">
      <alignment horizontal="center" vertical="bottom" textRotation="0" wrapText="false" indent="0" shrinkToFit="false"/>
      <protection locked="true" hidden="false"/>
    </xf>
    <xf numFmtId="181" fontId="183" fillId="46" borderId="0" xfId="0" applyFont="true" applyBorder="false" applyAlignment="true" applyProtection="false">
      <alignment horizontal="right" vertical="center" textRotation="0" wrapText="false" indent="1" shrinkToFit="false"/>
      <protection locked="true" hidden="false"/>
    </xf>
    <xf numFmtId="166" fontId="183" fillId="46" borderId="0" xfId="0" applyFont="true" applyBorder="false" applyAlignment="true" applyProtection="false">
      <alignment horizontal="right" vertical="center" textRotation="0" wrapText="false" indent="1" shrinkToFit="false"/>
      <protection locked="true" hidden="false"/>
    </xf>
    <xf numFmtId="204" fontId="183" fillId="46" borderId="0" xfId="0" applyFont="true" applyBorder="false" applyAlignment="true" applyProtection="false">
      <alignment horizontal="right" vertical="center" textRotation="0" wrapText="false" indent="1" shrinkToFit="false"/>
      <protection locked="true" hidden="false"/>
    </xf>
    <xf numFmtId="182" fontId="183" fillId="46" borderId="0" xfId="0" applyFont="true" applyBorder="false" applyAlignment="true" applyProtection="false">
      <alignment horizontal="right" vertical="center" textRotation="0" wrapText="false" indent="1" shrinkToFit="false"/>
      <protection locked="true" hidden="false"/>
    </xf>
    <xf numFmtId="164" fontId="162" fillId="31" borderId="0" xfId="0" applyFont="true" applyBorder="true" applyAlignment="true" applyProtection="false">
      <alignment horizontal="left" vertical="top" textRotation="0" wrapText="true" indent="1" shrinkToFit="false"/>
      <protection locked="true" hidden="false"/>
    </xf>
    <xf numFmtId="164" fontId="41" fillId="4" borderId="0" xfId="0" applyFont="true" applyBorder="true" applyAlignment="true" applyProtection="false">
      <alignment horizontal="right" vertical="top" textRotation="0" wrapText="true" indent="0" shrinkToFit="false"/>
      <protection locked="true" hidden="false"/>
    </xf>
    <xf numFmtId="187" fontId="39" fillId="46" borderId="0" xfId="0" applyFont="true" applyBorder="false" applyAlignment="true" applyProtection="false">
      <alignment horizontal="right" vertical="center" textRotation="0" wrapText="false" indent="1" shrinkToFit="false"/>
      <protection locked="true" hidden="false"/>
    </xf>
    <xf numFmtId="181" fontId="32" fillId="46" borderId="0" xfId="0" applyFont="true" applyBorder="false" applyAlignment="true" applyProtection="false">
      <alignment horizontal="right" vertical="center" textRotation="0" wrapText="false" indent="1" shrinkToFit="false"/>
      <protection locked="true" hidden="false"/>
    </xf>
    <xf numFmtId="165" fontId="163" fillId="12" borderId="0" xfId="0" applyFont="true" applyBorder="false" applyAlignment="true" applyProtection="false">
      <alignment horizontal="right" vertical="center" textRotation="0" wrapText="false" indent="1" shrinkToFit="false"/>
      <protection locked="true" hidden="false"/>
    </xf>
    <xf numFmtId="165" fontId="32" fillId="46" borderId="0" xfId="0" applyFont="true" applyBorder="false" applyAlignment="true" applyProtection="false">
      <alignment horizontal="right" vertical="center" textRotation="0" wrapText="false" indent="1" shrinkToFit="false"/>
      <protection locked="true" hidden="false"/>
    </xf>
    <xf numFmtId="164" fontId="185" fillId="4" borderId="0" xfId="0" applyFont="true" applyBorder="false" applyAlignment="true" applyProtection="false">
      <alignment horizontal="left" vertical="top" textRotation="0" wrapText="true" indent="1" shrinkToFit="false"/>
      <protection locked="true" hidden="false"/>
    </xf>
    <xf numFmtId="165" fontId="98" fillId="17" borderId="0" xfId="0" applyFont="true" applyBorder="false" applyAlignment="true" applyProtection="false">
      <alignment horizontal="right" vertical="center" textRotation="0" wrapText="false" indent="1" shrinkToFit="false"/>
      <protection locked="true" hidden="false"/>
    </xf>
    <xf numFmtId="164" fontId="185" fillId="4" borderId="0" xfId="0" applyFont="true" applyBorder="false" applyAlignment="true" applyProtection="false">
      <alignment horizontal="left" vertical="top" textRotation="0" wrapText="true" indent="0" shrinkToFit="false"/>
      <protection locked="true" hidden="false"/>
    </xf>
    <xf numFmtId="164" fontId="0" fillId="44" borderId="0" xfId="0" applyFont="false" applyBorder="false" applyAlignment="false" applyProtection="false">
      <alignment horizontal="general" vertical="bottom" textRotation="0" wrapText="false" indent="0" shrinkToFit="false"/>
      <protection locked="true" hidden="false"/>
    </xf>
    <xf numFmtId="166" fontId="32" fillId="46" borderId="0" xfId="0" applyFont="true" applyBorder="false" applyAlignment="true" applyProtection="false">
      <alignment horizontal="right" vertical="center" textRotation="0" wrapText="false" indent="1" shrinkToFit="false"/>
      <protection locked="true" hidden="false"/>
    </xf>
    <xf numFmtId="165" fontId="27" fillId="46" borderId="0" xfId="0" applyFont="true" applyBorder="false" applyAlignment="true" applyProtection="false">
      <alignment horizontal="right" vertical="center" textRotation="0" wrapText="false" indent="1" shrinkToFit="false"/>
      <protection locked="true" hidden="false"/>
    </xf>
    <xf numFmtId="164" fontId="164" fillId="4" borderId="0" xfId="0" applyFont="true" applyBorder="false" applyAlignment="true" applyProtection="false">
      <alignment horizontal="left" vertical="top" textRotation="0" wrapText="true" indent="0" shrinkToFit="false"/>
      <protection locked="true" hidden="false"/>
    </xf>
    <xf numFmtId="165" fontId="186" fillId="17" borderId="0" xfId="0" applyFont="true" applyBorder="false" applyAlignment="true" applyProtection="false">
      <alignment horizontal="right" vertical="center" textRotation="0" wrapText="false" indent="1" shrinkToFit="false"/>
      <protection locked="true" hidden="false"/>
    </xf>
    <xf numFmtId="174" fontId="26" fillId="17" borderId="0" xfId="0" applyFont="true" applyBorder="false" applyAlignment="true" applyProtection="false">
      <alignment horizontal="right" vertical="center" textRotation="0" wrapText="false" indent="1" shrinkToFit="false"/>
      <protection locked="true" hidden="false"/>
    </xf>
    <xf numFmtId="164" fontId="187" fillId="21" borderId="0" xfId="0" applyFont="true" applyBorder="false" applyAlignment="true" applyProtection="false">
      <alignment horizontal="center" vertical="center" textRotation="0" wrapText="false" indent="0" shrinkToFit="false"/>
      <protection locked="true" hidden="false"/>
    </xf>
    <xf numFmtId="174" fontId="166" fillId="31" borderId="0" xfId="0" applyFont="true" applyBorder="false" applyAlignment="true" applyProtection="false">
      <alignment horizontal="center" vertical="top" textRotation="0" wrapText="true" indent="0" shrinkToFit="false"/>
      <protection locked="true" hidden="false"/>
    </xf>
    <xf numFmtId="165" fontId="188" fillId="46" borderId="0" xfId="0" applyFont="true" applyBorder="false" applyAlignment="true" applyProtection="false">
      <alignment horizontal="right" vertical="center" textRotation="0" wrapText="false" indent="1" shrinkToFit="false"/>
      <protection locked="true" hidden="false"/>
    </xf>
    <xf numFmtId="166" fontId="188" fillId="46" borderId="0" xfId="0" applyFont="true" applyBorder="false" applyAlignment="true" applyProtection="false">
      <alignment horizontal="right" vertical="center" textRotation="0" wrapText="false" indent="1" shrinkToFit="false"/>
      <protection locked="true" hidden="false"/>
    </xf>
    <xf numFmtId="164" fontId="91" fillId="45" borderId="0" xfId="0" applyFont="true" applyBorder="false" applyAlignment="true" applyProtection="false">
      <alignment horizontal="center" vertical="center" textRotation="0" wrapText="false" indent="0" shrinkToFit="false"/>
      <protection locked="true" hidden="false"/>
    </xf>
    <xf numFmtId="164" fontId="25" fillId="48" borderId="0" xfId="0" applyFont="true" applyBorder="true" applyAlignment="true" applyProtection="false">
      <alignment horizontal="left" vertical="top"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1" shrinkToFit="false"/>
      <protection locked="true" hidden="false"/>
    </xf>
    <xf numFmtId="164" fontId="164" fillId="4" borderId="0" xfId="0" applyFont="true" applyBorder="false" applyAlignment="true" applyProtection="false">
      <alignment horizontal="left" vertical="top" textRotation="0" wrapText="true" indent="1" shrinkToFit="false"/>
      <protection locked="true" hidden="false"/>
    </xf>
    <xf numFmtId="166" fontId="98" fillId="17" borderId="0" xfId="0" applyFont="true" applyBorder="false" applyAlignment="true" applyProtection="false">
      <alignment horizontal="right" vertical="center" textRotation="0" wrapText="false" indent="1" shrinkToFit="false"/>
      <protection locked="true" hidden="false"/>
    </xf>
    <xf numFmtId="164" fontId="173" fillId="0" borderId="0" xfId="0" applyFont="true" applyBorder="false" applyAlignment="true" applyProtection="false">
      <alignment horizontal="left" vertical="top" textRotation="0" wrapText="true" indent="0" shrinkToFit="false"/>
      <protection locked="true" hidden="false"/>
    </xf>
    <xf numFmtId="165" fontId="187" fillId="21" borderId="0" xfId="0" applyFont="true" applyBorder="false" applyAlignment="true" applyProtection="false">
      <alignment horizontal="right" vertical="center" textRotation="0" wrapText="false" indent="1" shrinkToFit="false"/>
      <protection locked="true" hidden="false"/>
    </xf>
    <xf numFmtId="164" fontId="189" fillId="8" borderId="0" xfId="0" applyFont="true" applyBorder="false" applyAlignment="true" applyProtection="false">
      <alignment horizontal="left" vertical="top" textRotation="0" wrapText="true" indent="0" shrinkToFit="false"/>
      <protection locked="true" hidden="false"/>
    </xf>
    <xf numFmtId="165" fontId="145" fillId="12" borderId="0" xfId="0" applyFont="true" applyBorder="false" applyAlignment="true" applyProtection="false">
      <alignment horizontal="right" vertical="center" textRotation="0" wrapText="false" indent="1" shrinkToFit="false"/>
      <protection locked="true" hidden="false"/>
    </xf>
    <xf numFmtId="164" fontId="181" fillId="0" borderId="0" xfId="0" applyFont="true" applyBorder="false" applyAlignment="true" applyProtection="false">
      <alignment horizontal="left" vertical="top" textRotation="0" wrapText="true" indent="0" shrinkToFit="false"/>
      <protection locked="true" hidden="false"/>
    </xf>
    <xf numFmtId="166" fontId="136" fillId="12" borderId="0" xfId="0" applyFont="true" applyBorder="false" applyAlignment="true" applyProtection="false">
      <alignment horizontal="right" vertical="center" textRotation="0" wrapText="false" indent="1" shrinkToFit="false"/>
      <protection locked="true" hidden="false"/>
    </xf>
    <xf numFmtId="165" fontId="172" fillId="12" borderId="0" xfId="0" applyFont="true" applyBorder="false" applyAlignment="true" applyProtection="false">
      <alignment horizontal="right" vertical="bottom" textRotation="0" wrapText="false" indent="1" shrinkToFit="false"/>
      <protection locked="true" hidden="false"/>
    </xf>
    <xf numFmtId="174" fontId="24" fillId="46" borderId="0" xfId="0" applyFont="true" applyBorder="false" applyAlignment="true" applyProtection="false">
      <alignment horizontal="right" vertical="center" textRotation="0" wrapText="false" indent="1" shrinkToFit="false"/>
      <protection locked="true" hidden="false"/>
    </xf>
    <xf numFmtId="200" fontId="24" fillId="46" borderId="0" xfId="0" applyFont="true" applyBorder="false" applyAlignment="true" applyProtection="false">
      <alignment horizontal="right" vertical="center" textRotation="0" wrapText="false" indent="1" shrinkToFit="false"/>
      <protection locked="true" hidden="false"/>
    </xf>
    <xf numFmtId="165" fontId="39" fillId="46" borderId="0" xfId="0" applyFont="true" applyBorder="false" applyAlignment="true" applyProtection="false">
      <alignment horizontal="right" vertical="center" textRotation="0" wrapText="false" indent="1" shrinkToFit="false"/>
      <protection locked="true" hidden="false"/>
    </xf>
    <xf numFmtId="165" fontId="163" fillId="46" borderId="0" xfId="0" applyFont="true" applyBorder="false" applyAlignment="true" applyProtection="false">
      <alignment horizontal="right" vertical="center" textRotation="0" wrapText="false" indent="1" shrinkToFit="false"/>
      <protection locked="true" hidden="false"/>
    </xf>
    <xf numFmtId="165" fontId="187" fillId="46" borderId="0" xfId="0" applyFont="true" applyBorder="false" applyAlignment="true" applyProtection="false">
      <alignment horizontal="right" vertical="center" textRotation="0" wrapText="false" indent="1" shrinkToFit="false"/>
      <protection locked="true" hidden="false"/>
    </xf>
    <xf numFmtId="165" fontId="187" fillId="31" borderId="0" xfId="0" applyFont="true" applyBorder="false" applyAlignment="true" applyProtection="false">
      <alignment horizontal="right" vertical="top" textRotation="0" wrapText="true" indent="1" shrinkToFit="false"/>
      <protection locked="true" hidden="false"/>
    </xf>
    <xf numFmtId="164" fontId="39" fillId="0" borderId="0" xfId="0" applyFont="true" applyBorder="true" applyAlignment="false" applyProtection="false">
      <alignment horizontal="general" vertical="bottom" textRotation="0" wrapText="false" indent="0" shrinkToFit="false"/>
      <protection locked="true" hidden="false"/>
    </xf>
    <xf numFmtId="165" fontId="52" fillId="31" borderId="0" xfId="0" applyFont="true" applyBorder="false" applyAlignment="true" applyProtection="false">
      <alignment horizontal="right" vertical="center" textRotation="0" wrapText="false" indent="1" shrinkToFit="false"/>
      <protection locked="true" hidden="false"/>
    </xf>
    <xf numFmtId="164" fontId="136" fillId="0" borderId="0" xfId="0" applyFont="true" applyBorder="false" applyAlignment="true" applyProtection="false">
      <alignment horizontal="left" vertical="top" textRotation="0" wrapText="true" indent="0" shrinkToFit="false"/>
      <protection locked="true" hidden="false"/>
    </xf>
    <xf numFmtId="166" fontId="163" fillId="46" borderId="0" xfId="0" applyFont="true" applyBorder="false" applyAlignment="true" applyProtection="false">
      <alignment horizontal="right" vertical="center" textRotation="0" wrapText="false" indent="1" shrinkToFit="false"/>
      <protection locked="true" hidden="false"/>
    </xf>
    <xf numFmtId="165" fontId="190" fillId="46" borderId="0" xfId="0" applyFont="true" applyBorder="false" applyAlignment="true" applyProtection="false">
      <alignment horizontal="right" vertical="center" textRotation="0" wrapText="false" indent="1" shrinkToFit="false"/>
      <protection locked="true" hidden="false"/>
    </xf>
    <xf numFmtId="165" fontId="51" fillId="46" borderId="0" xfId="0" applyFont="true" applyBorder="false" applyAlignment="true" applyProtection="false">
      <alignment horizontal="right" vertical="top" textRotation="0" wrapText="true" indent="1" shrinkToFit="false"/>
      <protection locked="true" hidden="false"/>
    </xf>
    <xf numFmtId="165" fontId="163" fillId="31" borderId="0" xfId="0" applyFont="true" applyBorder="false" applyAlignment="true" applyProtection="false">
      <alignment horizontal="right" vertical="center" textRotation="0" wrapText="false" indent="1" shrinkToFit="false"/>
      <protection locked="true" hidden="false"/>
    </xf>
    <xf numFmtId="165" fontId="26" fillId="17" borderId="0" xfId="0" applyFont="true" applyBorder="false" applyAlignment="true" applyProtection="false">
      <alignment horizontal="right" vertical="top" textRotation="0" wrapText="true" indent="1" shrinkToFit="false"/>
      <protection locked="true" hidden="false"/>
    </xf>
    <xf numFmtId="165" fontId="187" fillId="46" borderId="0" xfId="0" applyFont="true" applyBorder="false" applyAlignment="true" applyProtection="false">
      <alignment horizontal="right" vertical="top" textRotation="0" wrapText="true" indent="1" shrinkToFit="false"/>
      <protection locked="true" hidden="false"/>
    </xf>
    <xf numFmtId="166" fontId="163" fillId="31" borderId="0" xfId="0" applyFont="true" applyBorder="false" applyAlignment="true" applyProtection="false">
      <alignment horizontal="right" vertical="center" textRotation="0" wrapText="false" indent="1" shrinkToFit="false"/>
      <protection locked="true" hidden="false"/>
    </xf>
    <xf numFmtId="164" fontId="189" fillId="12" borderId="0" xfId="0" applyFont="true" applyBorder="false" applyAlignment="true" applyProtection="false">
      <alignment horizontal="left" vertical="center" textRotation="0" wrapText="true" indent="0" shrinkToFit="false"/>
      <protection locked="true" hidden="false"/>
    </xf>
    <xf numFmtId="165" fontId="39" fillId="46" borderId="0" xfId="0" applyFont="true" applyBorder="false" applyAlignment="true" applyProtection="false">
      <alignment horizontal="right" vertical="top" textRotation="0" wrapText="true" indent="1" shrinkToFit="false"/>
      <protection locked="true" hidden="false"/>
    </xf>
    <xf numFmtId="174" fontId="191" fillId="12" borderId="13" xfId="0" applyFont="true" applyBorder="true" applyAlignment="true" applyProtection="false">
      <alignment horizontal="right" vertical="center" textRotation="0" wrapText="false" indent="1" shrinkToFit="false"/>
      <protection locked="true" hidden="false"/>
    </xf>
    <xf numFmtId="176" fontId="191" fillId="12" borderId="13" xfId="0" applyFont="true" applyBorder="true" applyAlignment="true" applyProtection="false">
      <alignment horizontal="right" vertical="center" textRotation="0" wrapText="false" indent="1" shrinkToFit="false"/>
      <protection locked="true" hidden="false"/>
    </xf>
    <xf numFmtId="164" fontId="192" fillId="0" borderId="0" xfId="0" applyFont="true" applyBorder="false" applyAlignment="true" applyProtection="false">
      <alignment horizontal="left" vertical="top" textRotation="0" wrapText="true" indent="1" shrinkToFit="false"/>
      <protection locked="true" hidden="false"/>
    </xf>
    <xf numFmtId="205" fontId="193" fillId="46" borderId="0" xfId="0" applyFont="true" applyBorder="false" applyAlignment="true" applyProtection="false">
      <alignment horizontal="right" vertical="center" textRotation="0" wrapText="false" indent="1" shrinkToFit="false"/>
      <protection locked="true" hidden="false"/>
    </xf>
    <xf numFmtId="164" fontId="194" fillId="45" borderId="0" xfId="0" applyFont="true" applyBorder="true" applyAlignment="true" applyProtection="false">
      <alignment horizontal="center" vertical="top" textRotation="0" wrapText="true" indent="0" shrinkToFit="false"/>
      <protection locked="true" hidden="false"/>
    </xf>
    <xf numFmtId="164" fontId="26" fillId="0" borderId="0" xfId="0" applyFont="true" applyBorder="false" applyAlignment="true" applyProtection="false">
      <alignment horizontal="left" vertical="top" textRotation="0" wrapText="true" indent="0" shrinkToFit="false"/>
      <protection locked="true" hidden="false"/>
    </xf>
    <xf numFmtId="181" fontId="163" fillId="31" borderId="0" xfId="0" applyFont="true" applyBorder="false" applyAlignment="true" applyProtection="false">
      <alignment horizontal="right" vertical="center" textRotation="0" wrapText="false" indent="1" shrinkToFit="false"/>
      <protection locked="true" hidden="false"/>
    </xf>
    <xf numFmtId="164" fontId="162" fillId="0" borderId="0" xfId="0" applyFont="true" applyBorder="false" applyAlignment="true" applyProtection="false">
      <alignment horizontal="center" vertical="bottom" textRotation="0" wrapText="false" indent="0" shrinkToFit="false"/>
      <protection locked="true" hidden="false"/>
    </xf>
    <xf numFmtId="177" fontId="24" fillId="46" borderId="0" xfId="0" applyFont="true" applyBorder="false" applyAlignment="true" applyProtection="false">
      <alignment horizontal="right" vertical="top" textRotation="0" wrapText="true" indent="1" shrinkToFit="false"/>
      <protection locked="true" hidden="false"/>
    </xf>
    <xf numFmtId="181" fontId="163" fillId="12" borderId="0" xfId="0" applyFont="true" applyBorder="false" applyAlignment="true" applyProtection="false">
      <alignment horizontal="right" vertical="center" textRotation="0" wrapText="false" indent="1" shrinkToFit="false"/>
      <protection locked="true" hidden="false"/>
    </xf>
    <xf numFmtId="164" fontId="195" fillId="21" borderId="0" xfId="0" applyFont="true" applyBorder="false" applyAlignment="true" applyProtection="false">
      <alignment horizontal="left" vertical="center" textRotation="0" wrapText="false" indent="1" shrinkToFit="false"/>
      <protection locked="true" hidden="false"/>
    </xf>
    <xf numFmtId="188" fontId="98" fillId="17" borderId="0" xfId="0" applyFont="true" applyBorder="false" applyAlignment="true" applyProtection="false">
      <alignment horizontal="right" vertical="center" textRotation="0" wrapText="false" indent="1" shrinkToFit="false"/>
      <protection locked="true" hidden="false"/>
    </xf>
    <xf numFmtId="164" fontId="24" fillId="0" borderId="0" xfId="0" applyFont="true" applyBorder="true" applyAlignment="true" applyProtection="false">
      <alignment horizontal="left" vertical="center" textRotation="0" wrapText="false" indent="1" shrinkToFit="false"/>
      <protection locked="true" hidden="false"/>
    </xf>
    <xf numFmtId="206" fontId="163" fillId="46" borderId="0" xfId="0" applyFont="true" applyBorder="false" applyAlignment="true" applyProtection="false">
      <alignment horizontal="right" vertical="center" textRotation="0" wrapText="false" indent="1" shrinkToFit="false"/>
      <protection locked="true" hidden="false"/>
    </xf>
    <xf numFmtId="164" fontId="162" fillId="45" borderId="0" xfId="0" applyFont="true" applyBorder="true" applyAlignment="true" applyProtection="false">
      <alignment horizontal="left" vertical="top" textRotation="0" wrapText="true" indent="0" shrinkToFit="false"/>
      <protection locked="true" hidden="false"/>
    </xf>
    <xf numFmtId="164" fontId="172" fillId="0" borderId="0" xfId="0" applyFont="true" applyBorder="false" applyAlignment="false" applyProtection="false">
      <alignment horizontal="general" vertical="bottom" textRotation="0" wrapText="false" indent="0" shrinkToFit="false"/>
      <protection locked="true" hidden="false"/>
    </xf>
    <xf numFmtId="166" fontId="145" fillId="12" borderId="0" xfId="0" applyFont="true" applyBorder="false" applyAlignment="true" applyProtection="false">
      <alignment horizontal="right" vertical="center" textRotation="0" wrapText="false" indent="1" shrinkToFit="false"/>
      <protection locked="true" hidden="false"/>
    </xf>
    <xf numFmtId="166" fontId="24" fillId="46" borderId="0" xfId="0" applyFont="true" applyBorder="false" applyAlignment="true" applyProtection="false">
      <alignment horizontal="right" vertical="center" textRotation="0" wrapText="false" indent="1" shrinkToFit="false"/>
      <protection locked="true" hidden="false"/>
    </xf>
    <xf numFmtId="167" fontId="98" fillId="17" borderId="0" xfId="0" applyFont="true" applyBorder="false" applyAlignment="true" applyProtection="false">
      <alignment horizontal="right" vertical="center" textRotation="0" wrapText="false" indent="1" shrinkToFit="false"/>
      <protection locked="true" hidden="false"/>
    </xf>
    <xf numFmtId="168" fontId="163" fillId="31" borderId="0" xfId="0" applyFont="true" applyBorder="false" applyAlignment="true" applyProtection="false">
      <alignment horizontal="right" vertical="center" textRotation="0" wrapText="false" indent="1" shrinkToFit="false"/>
      <protection locked="true" hidden="false"/>
    </xf>
    <xf numFmtId="167" fontId="163" fillId="46" borderId="0" xfId="0" applyFont="true" applyBorder="false" applyAlignment="true" applyProtection="false">
      <alignment horizontal="right" vertical="center" textRotation="0" wrapText="false" indent="1" shrinkToFit="false"/>
      <protection locked="true" hidden="false"/>
    </xf>
    <xf numFmtId="177" fontId="52" fillId="12" borderId="0" xfId="0" applyFont="true" applyBorder="false" applyAlignment="true" applyProtection="false">
      <alignment horizontal="right" vertical="center" textRotation="0" wrapText="false" indent="1" shrinkToFit="false"/>
      <protection locked="true" hidden="false"/>
    </xf>
    <xf numFmtId="185" fontId="52" fillId="31" borderId="0" xfId="0" applyFont="true" applyBorder="false" applyAlignment="true" applyProtection="false">
      <alignment horizontal="right" vertical="center" textRotation="0" wrapText="false" indent="1" shrinkToFit="false"/>
      <protection locked="true" hidden="false"/>
    </xf>
    <xf numFmtId="205" fontId="187" fillId="46" borderId="0" xfId="0" applyFont="true" applyBorder="false" applyAlignment="true" applyProtection="false">
      <alignment horizontal="right" vertical="center" textRotation="0" wrapText="false" indent="1" shrinkToFit="false"/>
      <protection locked="true" hidden="false"/>
    </xf>
    <xf numFmtId="205" fontId="187" fillId="21" borderId="0" xfId="0" applyFont="true" applyBorder="false" applyAlignment="true" applyProtection="false">
      <alignment horizontal="right" vertical="center" textRotation="0" wrapText="false" indent="1" shrinkToFit="false"/>
      <protection locked="true" hidden="false"/>
    </xf>
    <xf numFmtId="205" fontId="163" fillId="46" borderId="0" xfId="0" applyFont="true" applyBorder="false" applyAlignment="true" applyProtection="false">
      <alignment horizontal="right" vertical="center" textRotation="0" wrapText="false" indent="1" shrinkToFit="false"/>
      <protection locked="true" hidden="false"/>
    </xf>
    <xf numFmtId="176" fontId="39" fillId="46" borderId="0" xfId="0" applyFont="true" applyBorder="false" applyAlignment="true" applyProtection="false">
      <alignment horizontal="right" vertical="top" textRotation="0" wrapText="true" indent="1" shrinkToFit="false"/>
      <protection locked="true" hidden="false"/>
    </xf>
    <xf numFmtId="166" fontId="176" fillId="46" borderId="0" xfId="0" applyFont="true" applyBorder="false" applyAlignment="true" applyProtection="false">
      <alignment horizontal="right" vertical="top" textRotation="0" wrapText="true" indent="1" shrinkToFit="false"/>
      <protection locked="true" hidden="false"/>
    </xf>
    <xf numFmtId="167" fontId="134" fillId="0" borderId="0" xfId="0" applyFont="true" applyBorder="false" applyAlignment="true" applyProtection="false">
      <alignment horizontal="right" vertical="bottom" textRotation="0" wrapText="false" indent="1" shrinkToFit="false"/>
      <protection locked="true" hidden="false"/>
    </xf>
    <xf numFmtId="174" fontId="32" fillId="46" borderId="0" xfId="0" applyFont="true" applyBorder="false" applyAlignment="true" applyProtection="false">
      <alignment horizontal="right" vertical="center" textRotation="0" wrapText="false" indent="1" shrinkToFit="false"/>
      <protection locked="true" hidden="false"/>
    </xf>
    <xf numFmtId="164" fontId="196" fillId="0" borderId="0" xfId="0" applyFont="true" applyBorder="false" applyAlignment="true" applyProtection="false">
      <alignment horizontal="center" vertical="top" textRotation="0" wrapText="true" indent="0" shrinkToFit="false"/>
      <protection locked="true" hidden="false"/>
    </xf>
    <xf numFmtId="189" fontId="176" fillId="46" borderId="0" xfId="0" applyFont="true" applyBorder="false" applyAlignment="true" applyProtection="false">
      <alignment horizontal="right" vertical="top" textRotation="0" wrapText="true" indent="1" shrinkToFit="false"/>
      <protection locked="true" hidden="false"/>
    </xf>
    <xf numFmtId="164" fontId="187" fillId="0" borderId="0" xfId="0" applyFont="true" applyBorder="false" applyAlignment="true" applyProtection="false">
      <alignment horizontal="left" vertical="top" textRotation="0" wrapText="true" indent="0" shrinkToFit="false"/>
      <protection locked="true" hidden="false"/>
    </xf>
    <xf numFmtId="165" fontId="163" fillId="21" borderId="0" xfId="0" applyFont="true" applyBorder="false" applyAlignment="true" applyProtection="false">
      <alignment horizontal="right" vertical="center" textRotation="0" wrapText="false" indent="1" shrinkToFit="false"/>
      <protection locked="true" hidden="false"/>
    </xf>
    <xf numFmtId="189" fontId="192" fillId="46" borderId="0" xfId="0" applyFont="true" applyBorder="false" applyAlignment="true" applyProtection="false">
      <alignment horizontal="right" vertical="top" textRotation="0" wrapText="true" indent="1" shrinkToFit="false"/>
      <protection locked="true" hidden="false"/>
    </xf>
    <xf numFmtId="164" fontId="162" fillId="31" borderId="0" xfId="0" applyFont="true" applyBorder="true" applyAlignment="true" applyProtection="false">
      <alignment horizontal="left" vertical="top" textRotation="0" wrapText="true" indent="0" shrinkToFit="false"/>
      <protection locked="true" hidden="false"/>
    </xf>
    <xf numFmtId="164" fontId="193" fillId="0" borderId="0" xfId="0" applyFont="true" applyBorder="false" applyAlignment="true" applyProtection="false">
      <alignment horizontal="center" vertical="bottom" textRotation="0" wrapText="false" indent="0" shrinkToFit="false"/>
      <protection locked="true" hidden="false"/>
    </xf>
    <xf numFmtId="164" fontId="162" fillId="0" borderId="0" xfId="0" applyFont="true" applyBorder="false" applyAlignment="true" applyProtection="false">
      <alignment horizontal="center" vertical="top" textRotation="0" wrapText="true" indent="0" shrinkToFit="false"/>
      <protection locked="true" hidden="false"/>
    </xf>
    <xf numFmtId="181" fontId="163" fillId="46" borderId="0" xfId="0" applyFont="true" applyBorder="false" applyAlignment="true" applyProtection="false">
      <alignment horizontal="right" vertical="center" textRotation="0" wrapText="false" indent="1" shrinkToFit="false"/>
      <protection locked="true" hidden="false"/>
    </xf>
    <xf numFmtId="176" fontId="163" fillId="46" borderId="0" xfId="0" applyFont="true" applyBorder="false" applyAlignment="true" applyProtection="false">
      <alignment horizontal="right" vertical="center" textRotation="0" wrapText="false" indent="1" shrinkToFit="false"/>
      <protection locked="true" hidden="false"/>
    </xf>
    <xf numFmtId="188" fontId="163" fillId="46" borderId="0" xfId="0" applyFont="true" applyBorder="false" applyAlignment="true" applyProtection="false">
      <alignment horizontal="right" vertical="center" textRotation="0" wrapText="false" indent="1" shrinkToFit="false"/>
      <protection locked="true" hidden="false"/>
    </xf>
    <xf numFmtId="185" fontId="163" fillId="46" borderId="0" xfId="0" applyFont="true" applyBorder="false" applyAlignment="true" applyProtection="false">
      <alignment horizontal="right" vertical="center" textRotation="0" wrapText="false" indent="1" shrinkToFit="false"/>
      <protection locked="true" hidden="false"/>
    </xf>
    <xf numFmtId="164" fontId="172" fillId="12" borderId="0" xfId="0" applyFont="true" applyBorder="false" applyAlignment="true" applyProtection="false">
      <alignment horizontal="center" vertical="bottom" textRotation="0" wrapText="false" indent="0" shrinkToFit="false"/>
      <protection locked="true" hidden="false"/>
    </xf>
    <xf numFmtId="164" fontId="47" fillId="2" borderId="0" xfId="0" applyFont="true" applyBorder="false" applyAlignment="true" applyProtection="false">
      <alignment horizontal="center" vertical="bottom" textRotation="0" wrapText="false" indent="0" shrinkToFit="false"/>
      <protection locked="true" hidden="false"/>
    </xf>
    <xf numFmtId="164" fontId="47" fillId="17" borderId="0" xfId="0" applyFont="true" applyBorder="false" applyAlignment="true" applyProtection="false">
      <alignment horizontal="center" vertical="bottom" textRotation="0" wrapText="false" indent="0" shrinkToFit="false"/>
      <protection locked="true" hidden="false"/>
    </xf>
    <xf numFmtId="164" fontId="47" fillId="49" borderId="0" xfId="0" applyFont="true" applyBorder="false" applyAlignment="true" applyProtection="false">
      <alignment horizontal="center" vertical="bottom" textRotation="0" wrapText="false" indent="0" shrinkToFit="false"/>
      <protection locked="true" hidden="false"/>
    </xf>
    <xf numFmtId="167" fontId="32" fillId="0" borderId="0" xfId="0" applyFont="true" applyBorder="false" applyAlignment="true" applyProtection="false">
      <alignment horizontal="center" vertical="bottom" textRotation="0" wrapText="false" indent="0" shrinkToFit="false"/>
      <protection locked="true" hidden="false"/>
    </xf>
    <xf numFmtId="167" fontId="163" fillId="31" borderId="0" xfId="0" applyFont="true" applyBorder="false" applyAlignment="true" applyProtection="false">
      <alignment horizontal="center" vertical="bottom" textRotation="0" wrapText="false" indent="0" shrinkToFit="false"/>
      <protection locked="true" hidden="false"/>
    </xf>
    <xf numFmtId="174" fontId="32" fillId="0" borderId="0" xfId="0" applyFont="true" applyBorder="false" applyAlignment="true" applyProtection="false">
      <alignment horizontal="center" vertical="bottom" textRotation="0" wrapText="false" indent="0" shrinkToFit="false"/>
      <protection locked="true" hidden="false"/>
    </xf>
    <xf numFmtId="174" fontId="163" fillId="31" borderId="0" xfId="0" applyFont="true" applyBorder="false" applyAlignment="true" applyProtection="false">
      <alignment horizontal="center" vertical="bottom" textRotation="0" wrapText="false" indent="0" shrinkToFit="false"/>
      <protection locked="true" hidden="false"/>
    </xf>
    <xf numFmtId="165" fontId="32" fillId="0" borderId="0" xfId="0" applyFont="true" applyBorder="false" applyAlignment="true" applyProtection="false">
      <alignment horizontal="center" vertical="bottom" textRotation="0" wrapText="false" indent="0" shrinkToFit="false"/>
      <protection locked="true" hidden="false"/>
    </xf>
    <xf numFmtId="165" fontId="163" fillId="31" borderId="0" xfId="0" applyFont="true" applyBorder="false" applyAlignment="true" applyProtection="false">
      <alignment horizontal="center" vertical="bottom" textRotation="0" wrapText="false" indent="0" shrinkToFit="false"/>
      <protection locked="true" hidden="false"/>
    </xf>
    <xf numFmtId="164" fontId="144" fillId="0" borderId="0" xfId="0" applyFont="true" applyBorder="false" applyAlignment="true" applyProtection="false">
      <alignment horizontal="general" vertical="top" textRotation="0" wrapText="true" indent="0" shrinkToFit="false"/>
      <protection locked="true" hidden="false"/>
    </xf>
    <xf numFmtId="165" fontId="197" fillId="0" borderId="0" xfId="0" applyFont="true" applyBorder="false" applyAlignment="false" applyProtection="false">
      <alignment horizontal="general" vertical="bottom" textRotation="0" wrapText="false" indent="0" shrinkToFit="false"/>
      <protection locked="true" hidden="false"/>
    </xf>
    <xf numFmtId="165" fontId="26" fillId="31" borderId="0" xfId="0" applyFont="true" applyBorder="false" applyAlignment="false" applyProtection="false">
      <alignment horizontal="general" vertical="bottom" textRotation="0" wrapText="false" indent="0" shrinkToFit="false"/>
      <protection locked="true" hidden="false"/>
    </xf>
    <xf numFmtId="165" fontId="191" fillId="0" borderId="0" xfId="0" applyFont="tru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top" textRotation="0" wrapText="true" indent="0" shrinkToFit="false"/>
      <protection locked="true" hidden="false"/>
    </xf>
    <xf numFmtId="174" fontId="47" fillId="4" borderId="0" xfId="0" applyFont="true" applyBorder="false" applyAlignment="true" applyProtection="false">
      <alignment horizontal="center" vertical="bottom" textRotation="0" wrapText="false" indent="0" shrinkToFit="false"/>
      <protection locked="true" hidden="false"/>
    </xf>
    <xf numFmtId="165" fontId="47" fillId="4" borderId="0" xfId="0" applyFont="true" applyBorder="false" applyAlignment="true" applyProtection="false">
      <alignment horizontal="center" vertical="bottom" textRotation="0" wrapText="false" indent="0" shrinkToFit="false"/>
      <protection locked="true" hidden="false"/>
    </xf>
    <xf numFmtId="164" fontId="187" fillId="0" borderId="0" xfId="0" applyFont="true" applyBorder="false" applyAlignment="true" applyProtection="false">
      <alignment horizontal="left" vertical="top" textRotation="0" wrapText="true" indent="1" shrinkToFit="false"/>
      <protection locked="true" hidden="false"/>
    </xf>
    <xf numFmtId="174" fontId="166" fillId="31" borderId="0" xfId="0" applyFont="true" applyBorder="false" applyAlignment="true" applyProtection="false">
      <alignment horizontal="center" vertical="bottom" textRotation="0" wrapText="false" indent="0" shrinkToFit="false"/>
      <protection locked="true" hidden="false"/>
    </xf>
    <xf numFmtId="165" fontId="134" fillId="0" borderId="0" xfId="0" applyFont="true" applyBorder="false" applyAlignment="true" applyProtection="false">
      <alignment horizontal="right" vertical="bottom" textRotation="0" wrapText="false" indent="1" shrinkToFit="false"/>
      <protection locked="true" hidden="false"/>
    </xf>
    <xf numFmtId="164" fontId="145" fillId="0" borderId="0" xfId="0" applyFont="true" applyBorder="false" applyAlignment="true" applyProtection="false">
      <alignment horizontal="left" vertical="top" textRotation="0" wrapText="true" indent="1" shrinkToFit="false"/>
      <protection locked="true" hidden="false"/>
    </xf>
    <xf numFmtId="174" fontId="145" fillId="0" borderId="0" xfId="0" applyFont="true" applyBorder="false" applyAlignment="true" applyProtection="false">
      <alignment horizontal="center" vertical="bottom" textRotation="0" wrapText="false" indent="0" shrinkToFit="false"/>
      <protection locked="true" hidden="false"/>
    </xf>
    <xf numFmtId="164" fontId="25" fillId="8" borderId="14" xfId="0" applyFont="true" applyBorder="true" applyAlignment="true" applyProtection="false">
      <alignment horizontal="left" vertical="top" textRotation="0" wrapText="true" indent="0" shrinkToFit="false"/>
      <protection locked="true" hidden="false"/>
    </xf>
    <xf numFmtId="165" fontId="25" fillId="8" borderId="14" xfId="0" applyFont="true" applyBorder="true" applyAlignment="true" applyProtection="false">
      <alignment horizontal="right" vertical="center" textRotation="0" wrapText="false" indent="1" shrinkToFit="false"/>
      <protection locked="true" hidden="false"/>
    </xf>
    <xf numFmtId="207" fontId="47" fillId="2" borderId="0" xfId="0" applyFont="true" applyBorder="false" applyAlignment="true" applyProtection="false">
      <alignment horizontal="center" vertical="bottom" textRotation="0" wrapText="false" indent="0" shrinkToFit="false"/>
      <protection locked="true" hidden="false"/>
    </xf>
    <xf numFmtId="165" fontId="47" fillId="20" borderId="0" xfId="0" applyFont="true" applyBorder="false" applyAlignment="true" applyProtection="false">
      <alignment horizontal="center" vertical="bottom" textRotation="0" wrapText="false" indent="0" shrinkToFit="false"/>
      <protection locked="true" hidden="false"/>
    </xf>
    <xf numFmtId="165" fontId="47" fillId="17" borderId="0" xfId="0" applyFont="true" applyBorder="false" applyAlignment="true" applyProtection="false">
      <alignment horizontal="center" vertical="bottom" textRotation="0" wrapText="false" indent="0" shrinkToFit="false"/>
      <protection locked="true" hidden="false"/>
    </xf>
    <xf numFmtId="165" fontId="47" fillId="9" borderId="0" xfId="0" applyFont="true" applyBorder="false" applyAlignment="true" applyProtection="false">
      <alignment horizontal="center" vertical="top" textRotation="0" wrapText="true" indent="0" shrinkToFit="false"/>
      <protection locked="true" hidden="false"/>
    </xf>
    <xf numFmtId="166" fontId="47" fillId="49" borderId="0" xfId="0" applyFont="true" applyBorder="false" applyAlignment="true" applyProtection="false">
      <alignment horizontal="center" vertical="bottom" textRotation="0" wrapText="false" indent="0" shrinkToFit="false"/>
      <protection locked="true" hidden="false"/>
    </xf>
    <xf numFmtId="165" fontId="197" fillId="0" borderId="0" xfId="0" applyFont="true" applyBorder="false" applyAlignment="true" applyProtection="false">
      <alignment horizontal="right" vertical="bottom" textRotation="0" wrapText="false" indent="1" shrinkToFit="false"/>
      <protection locked="true" hidden="false"/>
    </xf>
    <xf numFmtId="165" fontId="144" fillId="31" borderId="0" xfId="0" applyFont="true" applyBorder="false" applyAlignment="true" applyProtection="false">
      <alignment horizontal="right" vertical="bottom" textRotation="0" wrapText="false" indent="1" shrinkToFit="false"/>
      <protection locked="true" hidden="false"/>
    </xf>
    <xf numFmtId="165" fontId="134" fillId="0" borderId="0" xfId="0" applyFont="true" applyBorder="false" applyAlignment="true" applyProtection="false">
      <alignment horizontal="right" vertical="top" textRotation="0" wrapText="true" indent="1" shrinkToFit="false"/>
      <protection locked="true" hidden="false"/>
    </xf>
    <xf numFmtId="165" fontId="191" fillId="0" borderId="0" xfId="0" applyFont="true" applyBorder="false" applyAlignment="true" applyProtection="false">
      <alignment horizontal="right" vertical="bottom" textRotation="0" wrapText="false" indent="1" shrinkToFit="false"/>
      <protection locked="true" hidden="false"/>
    </xf>
    <xf numFmtId="166" fontId="197" fillId="0" borderId="0" xfId="0" applyFont="true" applyBorder="false" applyAlignment="false" applyProtection="false">
      <alignment horizontal="general" vertical="bottom" textRotation="0" wrapText="false" indent="0" shrinkToFit="false"/>
      <protection locked="true" hidden="false"/>
    </xf>
    <xf numFmtId="166" fontId="191" fillId="0" borderId="0" xfId="0" applyFont="true" applyBorder="false" applyAlignment="false" applyProtection="false">
      <alignment horizontal="general" vertical="bottom" textRotation="0" wrapText="false" indent="0" shrinkToFit="false"/>
      <protection locked="true" hidden="false"/>
    </xf>
    <xf numFmtId="164" fontId="39" fillId="45" borderId="0" xfId="0" applyFont="true" applyBorder="true" applyAlignment="true" applyProtection="false">
      <alignment horizontal="left" vertical="top" textRotation="0" wrapText="true" indent="0" shrinkToFit="false"/>
      <protection locked="true" hidden="false"/>
    </xf>
    <xf numFmtId="182" fontId="163" fillId="46" borderId="0" xfId="0" applyFont="true" applyBorder="false" applyAlignment="true" applyProtection="false">
      <alignment horizontal="right" vertical="center" textRotation="0" wrapText="false" indent="1" shrinkToFit="false"/>
      <protection locked="true" hidden="false"/>
    </xf>
    <xf numFmtId="164" fontId="47" fillId="44" borderId="15" xfId="0" applyFont="true" applyBorder="true" applyAlignment="true" applyProtection="false">
      <alignment horizontal="center" vertical="center" textRotation="0" wrapText="true" indent="0" shrinkToFit="false"/>
      <protection locked="true" hidden="false"/>
    </xf>
    <xf numFmtId="164" fontId="158" fillId="0" borderId="0" xfId="0" applyFont="true" applyBorder="false" applyAlignment="true" applyProtection="false">
      <alignment horizontal="center" vertical="bottom" textRotation="0" wrapText="false" indent="0" shrinkToFit="false"/>
      <protection locked="true" hidden="false"/>
    </xf>
    <xf numFmtId="164" fontId="158" fillId="45" borderId="0" xfId="0" applyFont="true" applyBorder="true" applyAlignment="true" applyProtection="false">
      <alignment horizontal="left" vertical="top" textRotation="0" wrapText="true" indent="0" shrinkToFit="false"/>
      <protection locked="true" hidden="false"/>
    </xf>
    <xf numFmtId="165" fontId="198"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5" fontId="114" fillId="12" borderId="0" xfId="0" applyFont="true" applyBorder="false" applyAlignment="true" applyProtection="false">
      <alignment horizontal="right" vertical="top" textRotation="0" wrapText="true" indent="1" shrinkToFit="false"/>
      <protection locked="true" hidden="false"/>
    </xf>
    <xf numFmtId="166" fontId="135" fillId="12" borderId="0" xfId="0" applyFont="true" applyBorder="false" applyAlignment="true" applyProtection="false">
      <alignment horizontal="right" vertical="center" textRotation="0" wrapText="false" indent="1" shrinkToFit="false"/>
      <protection locked="true" hidden="false"/>
    </xf>
    <xf numFmtId="164" fontId="42" fillId="31"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88" fontId="26" fillId="12"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left" vertical="top" textRotation="0" wrapText="true" indent="2" shrinkToFit="false"/>
      <protection locked="true" hidden="false"/>
    </xf>
    <xf numFmtId="165" fontId="27" fillId="12" borderId="0" xfId="0" applyFont="true" applyBorder="false" applyAlignment="true" applyProtection="false">
      <alignment horizontal="right" vertical="top" textRotation="0" wrapText="true" indent="1" shrinkToFit="false"/>
      <protection locked="true" hidden="false"/>
    </xf>
    <xf numFmtId="166" fontId="25" fillId="4" borderId="0" xfId="0" applyFont="true" applyBorder="false" applyAlignment="true" applyProtection="false">
      <alignment horizontal="right" vertical="top" textRotation="0" wrapText="true" indent="1" shrinkToFit="false"/>
      <protection locked="true" hidden="false"/>
    </xf>
    <xf numFmtId="165" fontId="135" fillId="12" borderId="0" xfId="0" applyFont="true" applyBorder="false" applyAlignment="true" applyProtection="false">
      <alignment horizontal="right" vertical="top" textRotation="0" wrapText="tru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6" fontId="24" fillId="0" borderId="0" xfId="0" applyFont="true" applyBorder="false" applyAlignment="true" applyProtection="false">
      <alignment horizontal="right" vertical="top" textRotation="0" wrapText="true" indent="1" shrinkToFit="false"/>
      <protection locked="true" hidden="false"/>
    </xf>
    <xf numFmtId="166" fontId="26" fillId="0" borderId="0" xfId="0" applyFont="true" applyBorder="false" applyAlignment="true" applyProtection="false">
      <alignment horizontal="right" vertical="center" textRotation="0" wrapText="false" indent="1" shrinkToFit="false"/>
      <protection locked="true" hidden="false"/>
    </xf>
    <xf numFmtId="165" fontId="27" fillId="31" borderId="0" xfId="0" applyFont="true" applyBorder="false" applyAlignment="true" applyProtection="false">
      <alignment horizontal="right" vertical="top" textRotation="0" wrapText="true" indent="1" shrinkToFit="false"/>
      <protection locked="true" hidden="false"/>
    </xf>
    <xf numFmtId="183" fontId="36" fillId="12" borderId="0" xfId="0" applyFont="true" applyBorder="false" applyAlignment="true" applyProtection="false">
      <alignment horizontal="right" vertical="top" textRotation="0" wrapText="true" indent="1" shrinkToFit="false"/>
      <protection locked="true" hidden="false"/>
    </xf>
    <xf numFmtId="166" fontId="36" fillId="12" borderId="0" xfId="0" applyFont="true" applyBorder="false" applyAlignment="true" applyProtection="false">
      <alignment horizontal="right" vertical="top" textRotation="0" wrapText="true" indent="1" shrinkToFit="false"/>
      <protection locked="true" hidden="false"/>
    </xf>
    <xf numFmtId="188" fontId="36" fillId="12" borderId="0" xfId="0" applyFont="true" applyBorder="false" applyAlignment="true" applyProtection="false">
      <alignment horizontal="right" vertical="top" textRotation="0" wrapText="true" indent="1"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xf numFmtId="176" fontId="166" fillId="31" borderId="13" xfId="0" applyFont="true" applyBorder="true" applyAlignment="true" applyProtection="false">
      <alignment horizontal="center" vertical="center" textRotation="0" wrapText="false" indent="0" shrinkToFit="false"/>
      <protection locked="true" hidden="false"/>
    </xf>
    <xf numFmtId="176" fontId="140" fillId="31" borderId="13" xfId="0" applyFont="true" applyBorder="true" applyAlignment="true" applyProtection="false">
      <alignment horizontal="center" vertical="center" textRotation="0" wrapText="false" indent="0" shrinkToFit="false"/>
      <protection locked="true" hidden="false"/>
    </xf>
    <xf numFmtId="176" fontId="166" fillId="31" borderId="13" xfId="0" applyFont="true" applyBorder="true" applyAlignment="true" applyProtection="false">
      <alignment horizontal="center" vertical="top" textRotation="0" wrapText="true" indent="0" shrinkToFit="false"/>
      <protection locked="true" hidden="false"/>
    </xf>
    <xf numFmtId="176" fontId="199" fillId="12" borderId="16" xfId="0" applyFont="true" applyBorder="true" applyAlignment="true" applyProtection="false">
      <alignment horizontal="center" vertical="center" textRotation="0" wrapText="false" indent="0" shrinkToFit="false"/>
      <protection locked="true" hidden="false"/>
    </xf>
    <xf numFmtId="165" fontId="199" fillId="12" borderId="16" xfId="0" applyFont="true" applyBorder="true" applyAlignment="true" applyProtection="false">
      <alignment horizontal="center" vertical="center" textRotation="0" wrapText="false" indent="0" shrinkToFit="false"/>
      <protection locked="true" hidden="false"/>
    </xf>
    <xf numFmtId="176" fontId="140" fillId="31" borderId="0" xfId="0" applyFont="true" applyBorder="false" applyAlignment="true" applyProtection="false">
      <alignment horizontal="center" vertical="center" textRotation="0" wrapText="false" indent="0" shrinkToFit="false"/>
      <protection locked="true" hidden="false"/>
    </xf>
    <xf numFmtId="176" fontId="107" fillId="5" borderId="0" xfId="0" applyFont="true" applyBorder="false" applyAlignment="true" applyProtection="false">
      <alignment horizontal="center" vertical="center" textRotation="0" wrapText="false" indent="0" shrinkToFit="false"/>
      <protection locked="true" hidden="false"/>
    </xf>
    <xf numFmtId="176" fontId="24" fillId="12" borderId="0" xfId="0" applyFont="true" applyBorder="false" applyAlignment="true" applyProtection="false">
      <alignment horizontal="center" vertical="center" textRotation="0" wrapText="false" indent="0" shrinkToFit="false"/>
      <protection locked="true" hidden="false"/>
    </xf>
    <xf numFmtId="174" fontId="24" fillId="12" borderId="0" xfId="0" applyFont="true" applyBorder="false" applyAlignment="true" applyProtection="false">
      <alignment horizontal="center" vertical="center" textRotation="0" wrapText="false" indent="0" shrinkToFit="false"/>
      <protection locked="true" hidden="false"/>
    </xf>
    <xf numFmtId="165" fontId="114" fillId="21" borderId="0" xfId="0" applyFont="true" applyBorder="false" applyAlignment="true" applyProtection="false">
      <alignment horizontal="right" vertical="center" textRotation="0" wrapText="false" indent="1" shrinkToFit="false"/>
      <protection locked="true" hidden="false"/>
    </xf>
    <xf numFmtId="164" fontId="200" fillId="0" borderId="0" xfId="0" applyFont="true" applyBorder="false" applyAlignment="true" applyProtection="false">
      <alignment horizontal="left" vertical="center" textRotation="0" wrapText="false" indent="1" shrinkToFit="false"/>
      <protection locked="true" hidden="false"/>
    </xf>
    <xf numFmtId="167" fontId="24" fillId="5" borderId="0" xfId="0" applyFont="true" applyBorder="false" applyAlignment="true" applyProtection="false">
      <alignment horizontal="right" vertical="center" textRotation="0" wrapText="false" indent="1" shrinkToFit="false"/>
      <protection locked="true" hidden="false"/>
    </xf>
    <xf numFmtId="164" fontId="134" fillId="0" borderId="0" xfId="0" applyFont="true" applyBorder="false" applyAlignment="true" applyProtection="false">
      <alignment horizontal="left" vertical="top" textRotation="0" wrapText="true" indent="0" shrinkToFit="false"/>
      <protection locked="true" hidden="false"/>
    </xf>
    <xf numFmtId="167" fontId="134" fillId="31" borderId="0" xfId="0" applyFont="true" applyBorder="false" applyAlignment="true" applyProtection="false">
      <alignment horizontal="right" vertical="center" textRotation="0" wrapText="false" indent="1" shrinkToFit="false"/>
      <protection locked="true" hidden="false"/>
    </xf>
    <xf numFmtId="164" fontId="134" fillId="0" borderId="0" xfId="0" applyFont="true" applyBorder="false" applyAlignment="true" applyProtection="false">
      <alignment horizontal="left" vertical="top" textRotation="0" wrapText="true" indent="2" shrinkToFit="false"/>
      <protection locked="true" hidden="false"/>
    </xf>
    <xf numFmtId="164" fontId="144" fillId="0" borderId="0" xfId="0" applyFont="true" applyBorder="false" applyAlignment="true" applyProtection="false">
      <alignment horizontal="left" vertical="top" textRotation="0" wrapText="true" indent="0" shrinkToFit="false"/>
      <protection locked="true" hidden="false"/>
    </xf>
    <xf numFmtId="167" fontId="144" fillId="12" borderId="0" xfId="0" applyFont="true" applyBorder="false" applyAlignment="true" applyProtection="false">
      <alignment horizontal="right" vertical="center" textRotation="0" wrapText="false" indent="1" shrinkToFit="false"/>
      <protection locked="true" hidden="false"/>
    </xf>
    <xf numFmtId="176" fontId="134" fillId="31" borderId="0" xfId="0" applyFont="true" applyBorder="false" applyAlignment="true" applyProtection="false">
      <alignment horizontal="right" vertical="center" textRotation="0" wrapText="false" indent="1" shrinkToFit="false"/>
      <protection locked="true" hidden="false"/>
    </xf>
    <xf numFmtId="176" fontId="134" fillId="31" borderId="0" xfId="0" applyFont="true" applyBorder="false" applyAlignment="true" applyProtection="false">
      <alignment horizontal="right" vertical="top" textRotation="0" wrapText="true" indent="1" shrinkToFit="false"/>
      <protection locked="true" hidden="false"/>
    </xf>
    <xf numFmtId="182" fontId="0" fillId="12" borderId="0" xfId="0" applyFont="false" applyBorder="false" applyAlignment="true" applyProtection="false">
      <alignment horizontal="right" vertical="center" textRotation="0" wrapText="false" indent="1" shrinkToFit="false"/>
      <protection locked="true" hidden="false"/>
    </xf>
    <xf numFmtId="164" fontId="144" fillId="0" borderId="0" xfId="0" applyFont="true" applyBorder="false" applyAlignment="true" applyProtection="false">
      <alignment horizontal="left" vertical="top" textRotation="0" wrapText="true" indent="2" shrinkToFit="false"/>
      <protection locked="true" hidden="false"/>
    </xf>
    <xf numFmtId="164" fontId="144" fillId="12" borderId="0" xfId="0" applyFont="true" applyBorder="false" applyAlignment="true" applyProtection="false">
      <alignment horizontal="left" vertical="center" textRotation="0" wrapText="false" indent="1" shrinkToFit="false"/>
      <protection locked="true" hidden="false"/>
    </xf>
    <xf numFmtId="166" fontId="0" fillId="12" borderId="0" xfId="0" applyFont="false" applyBorder="false" applyAlignment="true" applyProtection="false">
      <alignment horizontal="right" vertical="center" textRotation="0" wrapText="false" indent="1" shrinkToFit="false"/>
      <protection locked="true" hidden="false"/>
    </xf>
    <xf numFmtId="164" fontId="101" fillId="0" borderId="0" xfId="0" applyFont="true" applyBorder="false" applyAlignment="true" applyProtection="false">
      <alignment horizontal="left" vertical="top" textRotation="0" wrapText="true" indent="1" shrinkToFit="false"/>
      <protection locked="true" hidden="false"/>
    </xf>
    <xf numFmtId="164" fontId="30" fillId="4" borderId="0" xfId="0" applyFont="true" applyBorder="false" applyAlignment="true" applyProtection="false">
      <alignment horizontal="center" vertical="center" textRotation="0" wrapText="false" indent="0" shrinkToFit="false"/>
      <protection locked="true" hidden="false"/>
    </xf>
    <xf numFmtId="164" fontId="30" fillId="4" borderId="0" xfId="0" applyFont="true" applyBorder="false" applyAlignment="true" applyProtection="false">
      <alignment horizontal="center" vertical="top" textRotation="0" wrapText="true" indent="0" shrinkToFit="false"/>
      <protection locked="true" hidden="false"/>
    </xf>
    <xf numFmtId="208" fontId="26" fillId="12" borderId="0" xfId="0" applyFont="true" applyBorder="false" applyAlignment="true" applyProtection="false">
      <alignment horizontal="right" vertical="center" textRotation="0" wrapText="false" indent="1" shrinkToFit="false"/>
      <protection locked="true" hidden="false"/>
    </xf>
    <xf numFmtId="167" fontId="27" fillId="31" borderId="0" xfId="0" applyFont="true" applyBorder="false" applyAlignment="true" applyProtection="false">
      <alignment horizontal="center" vertical="center" textRotation="0" wrapText="false" indent="0" shrinkToFit="false"/>
      <protection locked="true" hidden="false"/>
    </xf>
    <xf numFmtId="167" fontId="27" fillId="31" borderId="0" xfId="0" applyFont="true" applyBorder="false" applyAlignment="true" applyProtection="false">
      <alignment horizontal="center" vertical="top" textRotation="0" wrapText="true" indent="0" shrinkToFit="false"/>
      <protection locked="true" hidden="false"/>
    </xf>
    <xf numFmtId="166" fontId="27" fillId="31" borderId="0" xfId="0" applyFont="true" applyBorder="false" applyAlignment="true" applyProtection="false">
      <alignment horizontal="right" vertical="center" textRotation="0" wrapText="false" indent="1" shrinkToFit="false"/>
      <protection locked="true" hidden="false"/>
    </xf>
    <xf numFmtId="209" fontId="27" fillId="12" borderId="0" xfId="0" applyFont="true" applyBorder="false" applyAlignment="true" applyProtection="false">
      <alignment horizontal="right" vertical="center" textRotation="0" wrapText="false" indent="1" shrinkToFit="false"/>
      <protection locked="true" hidden="false"/>
    </xf>
    <xf numFmtId="175" fontId="16" fillId="31" borderId="0" xfId="0" applyFont="true" applyBorder="false" applyAlignment="true" applyProtection="false">
      <alignment horizontal="center" vertical="center" textRotation="0" wrapText="false" indent="0" shrinkToFit="false"/>
      <protection locked="true" hidden="false"/>
    </xf>
    <xf numFmtId="175" fontId="16" fillId="31" borderId="0" xfId="0" applyFont="true" applyBorder="false" applyAlignment="true" applyProtection="false">
      <alignment horizontal="center" vertical="top" textRotation="0" wrapText="true" indent="0" shrinkToFit="false"/>
      <protection locked="true" hidden="false"/>
    </xf>
    <xf numFmtId="175" fontId="147" fillId="12" borderId="0" xfId="0" applyFont="true" applyBorder="false" applyAlignment="true" applyProtection="false">
      <alignment horizontal="center" vertical="center" textRotation="0" wrapText="false" indent="0" shrinkToFit="false"/>
      <protection locked="true" hidden="false"/>
    </xf>
    <xf numFmtId="164" fontId="39" fillId="0" borderId="0" xfId="0" applyFont="true" applyBorder="true" applyAlignment="true" applyProtection="false">
      <alignment horizontal="left" vertical="top" textRotation="0" wrapText="true" indent="2" shrinkToFit="false"/>
      <protection locked="true" hidden="false"/>
    </xf>
    <xf numFmtId="201" fontId="16" fillId="12" borderId="0" xfId="0" applyFont="true" applyBorder="false" applyAlignment="true" applyProtection="false">
      <alignment horizontal="center" vertical="center" textRotation="0" wrapText="false" indent="0" shrinkToFit="false"/>
      <protection locked="true" hidden="false"/>
    </xf>
    <xf numFmtId="201" fontId="16" fillId="12" borderId="0" xfId="0" applyFont="true" applyBorder="false" applyAlignment="true" applyProtection="false">
      <alignment horizontal="center" vertical="top" textRotation="0" wrapText="true" indent="0" shrinkToFit="false"/>
      <protection locked="true" hidden="false"/>
    </xf>
    <xf numFmtId="167" fontId="147" fillId="12"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left" vertical="top" textRotation="0" wrapText="true" indent="2" shrinkToFit="false"/>
      <protection locked="true" hidden="false"/>
    </xf>
    <xf numFmtId="201" fontId="147" fillId="12" borderId="0" xfId="0" applyFont="true" applyBorder="false" applyAlignment="true" applyProtection="false">
      <alignment horizontal="center" vertical="center" textRotation="0" wrapText="false" indent="0" shrinkToFit="false"/>
      <protection locked="true" hidden="false"/>
    </xf>
    <xf numFmtId="201" fontId="147" fillId="12" borderId="0" xfId="0" applyFont="true" applyBorder="false" applyAlignment="true" applyProtection="false">
      <alignment horizontal="center" vertical="top" textRotation="0" wrapText="true" indent="0" shrinkToFit="false"/>
      <protection locked="true" hidden="false"/>
    </xf>
    <xf numFmtId="164" fontId="102" fillId="0" borderId="0" xfId="0" applyFont="true" applyBorder="false" applyAlignment="true" applyProtection="false">
      <alignment horizontal="left" vertical="top" textRotation="0" wrapText="true" indent="2" shrinkToFit="false"/>
      <protection locked="true" hidden="false"/>
    </xf>
    <xf numFmtId="201" fontId="201" fillId="0" borderId="0" xfId="0" applyFont="true" applyBorder="false" applyAlignment="true" applyProtection="false">
      <alignment horizontal="center" vertical="center" textRotation="0" wrapText="false" indent="0" shrinkToFit="false"/>
      <protection locked="true" hidden="false"/>
    </xf>
    <xf numFmtId="201" fontId="201" fillId="0" borderId="0" xfId="0" applyFont="true" applyBorder="false" applyAlignment="true" applyProtection="false">
      <alignment horizontal="center" vertical="top" textRotation="0" wrapText="true" indent="0" shrinkToFit="false"/>
      <protection locked="true" hidden="false"/>
    </xf>
    <xf numFmtId="164" fontId="129" fillId="0" borderId="0" xfId="0" applyFont="true" applyBorder="false" applyAlignment="true" applyProtection="false">
      <alignment horizontal="center" vertical="center" textRotation="0" wrapText="false" indent="0" shrinkToFit="false"/>
      <protection locked="true" hidden="false"/>
    </xf>
    <xf numFmtId="210" fontId="27" fillId="31" borderId="0" xfId="0" applyFont="true" applyBorder="false" applyAlignment="true" applyProtection="false">
      <alignment horizontal="right" vertical="center" textRotation="0" wrapText="false" indent="1" shrinkToFit="false"/>
      <protection locked="true" hidden="false"/>
    </xf>
    <xf numFmtId="166" fontId="27" fillId="12" borderId="0" xfId="0" applyFont="true" applyBorder="false" applyAlignment="true" applyProtection="false">
      <alignment horizontal="right" vertical="center" textRotation="0" wrapText="false" indent="1" shrinkToFit="false"/>
      <protection locked="true" hidden="false"/>
    </xf>
    <xf numFmtId="168" fontId="26" fillId="0" borderId="0" xfId="0" applyFont="true" applyBorder="false" applyAlignment="true" applyProtection="false">
      <alignment horizontal="left" vertical="center" textRotation="0" wrapText="true" indent="1" shrinkToFit="false"/>
      <protection locked="true" hidden="false"/>
    </xf>
    <xf numFmtId="211" fontId="27" fillId="12" borderId="0" xfId="0" applyFont="true" applyBorder="false" applyAlignment="true" applyProtection="false">
      <alignment horizontal="right" vertical="center" textRotation="0" wrapText="false" indent="1" shrinkToFit="false"/>
      <protection locked="true" hidden="false"/>
    </xf>
    <xf numFmtId="196" fontId="27" fillId="12" borderId="0" xfId="0" applyFont="true" applyBorder="false" applyAlignment="true" applyProtection="false">
      <alignment horizontal="right" vertical="center" textRotation="0" wrapText="false" indent="1" shrinkToFit="false"/>
      <protection locked="true" hidden="false"/>
    </xf>
    <xf numFmtId="212" fontId="27" fillId="12" borderId="0" xfId="0" applyFont="true" applyBorder="false" applyAlignment="true" applyProtection="false">
      <alignment horizontal="right" vertical="center" textRotation="0" wrapText="false" indent="1" shrinkToFit="false"/>
      <protection locked="true" hidden="false"/>
    </xf>
    <xf numFmtId="166" fontId="36" fillId="12" borderId="0" xfId="0" applyFont="true" applyBorder="false" applyAlignment="true" applyProtection="false">
      <alignment horizontal="right" vertical="center" textRotation="0" wrapText="false" indent="1" shrinkToFit="false"/>
      <protection locked="true" hidden="false"/>
    </xf>
    <xf numFmtId="164" fontId="36" fillId="0" borderId="0" xfId="0" applyFont="true" applyBorder="false" applyAlignment="true" applyProtection="false">
      <alignment horizontal="left" vertical="top" textRotation="0" wrapText="true" indent="2" shrinkToFit="false"/>
      <protection locked="true" hidden="false"/>
    </xf>
    <xf numFmtId="168" fontId="36" fillId="12" borderId="0" xfId="0" applyFont="true" applyBorder="true" applyAlignment="true" applyProtection="false">
      <alignment horizontal="left" vertical="center" textRotation="0" wrapText="true" indent="1" shrinkToFit="false"/>
      <protection locked="true" hidden="false"/>
    </xf>
    <xf numFmtId="164" fontId="101" fillId="0" borderId="0" xfId="0" applyFont="true" applyBorder="true" applyAlignment="true" applyProtection="false">
      <alignment horizontal="left" vertical="top" textRotation="0" wrapText="true" indent="1" shrinkToFit="false"/>
      <protection locked="true" hidden="false"/>
    </xf>
    <xf numFmtId="201" fontId="27" fillId="0" borderId="0" xfId="0" applyFont="true" applyBorder="false" applyAlignment="true" applyProtection="false">
      <alignment horizontal="center" vertical="center" textRotation="0" wrapText="false" indent="0" shrinkToFit="false"/>
      <protection locked="true" hidden="false"/>
    </xf>
    <xf numFmtId="166" fontId="27" fillId="0" borderId="0" xfId="0" applyFont="true" applyBorder="false" applyAlignment="true" applyProtection="false">
      <alignment horizontal="center" vertical="top" textRotation="0" wrapText="true" indent="0" shrinkToFit="false"/>
      <protection locked="true" hidden="false"/>
    </xf>
    <xf numFmtId="213" fontId="27" fillId="0" borderId="0" xfId="0" applyFont="true" applyBorder="false" applyAlignment="true" applyProtection="false">
      <alignment horizontal="center" vertical="center" textRotation="0" wrapText="false" indent="0" shrinkToFit="false"/>
      <protection locked="true" hidden="false"/>
    </xf>
    <xf numFmtId="164" fontId="36" fillId="0" borderId="0" xfId="0" applyFont="true" applyBorder="false" applyAlignment="true" applyProtection="false">
      <alignment horizontal="center" vertical="center" textRotation="0" wrapText="false" indent="0" shrinkToFit="false"/>
      <protection locked="true" hidden="false"/>
    </xf>
    <xf numFmtId="201" fontId="36" fillId="12" borderId="0" xfId="0" applyFont="true" applyBorder="false" applyAlignment="true" applyProtection="false">
      <alignment horizontal="center" vertical="center" textRotation="0" wrapText="false" indent="0" shrinkToFit="false"/>
      <protection locked="true" hidden="false"/>
    </xf>
    <xf numFmtId="166" fontId="36" fillId="12" borderId="0" xfId="0" applyFont="true" applyBorder="false" applyAlignment="true" applyProtection="false">
      <alignment horizontal="center" vertical="top" textRotation="0" wrapText="true" indent="0" shrinkToFit="false"/>
      <protection locked="true" hidden="false"/>
    </xf>
    <xf numFmtId="213" fontId="36" fillId="12" borderId="0" xfId="0" applyFont="true" applyBorder="false" applyAlignment="true" applyProtection="false">
      <alignment horizontal="center" vertical="center" textRotation="0" wrapText="false" indent="0" shrinkToFit="false"/>
      <protection locked="true" hidden="false"/>
    </xf>
    <xf numFmtId="164" fontId="42" fillId="0" borderId="0" xfId="0" applyFont="true" applyBorder="false" applyAlignment="true" applyProtection="false">
      <alignment horizontal="center" vertical="center" textRotation="0" wrapText="false" indent="0" shrinkToFit="false"/>
      <protection locked="true" hidden="false"/>
    </xf>
    <xf numFmtId="167" fontId="27" fillId="0" borderId="0" xfId="0" applyFont="true" applyBorder="false" applyAlignment="true" applyProtection="false">
      <alignment horizontal="center" vertical="center" textRotation="0" wrapText="false" indent="0" shrinkToFit="false"/>
      <protection locked="true" hidden="false"/>
    </xf>
    <xf numFmtId="167" fontId="27" fillId="0" borderId="0" xfId="0" applyFont="true" applyBorder="false" applyAlignment="true" applyProtection="false">
      <alignment horizontal="center" vertical="top" textRotation="0" wrapText="true" indent="0" shrinkToFit="false"/>
      <protection locked="true" hidden="false"/>
    </xf>
    <xf numFmtId="167" fontId="26" fillId="12"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right" vertical="center" textRotation="0" wrapText="false" indent="1" shrinkToFit="false"/>
      <protection locked="true" hidden="false"/>
    </xf>
    <xf numFmtId="196" fontId="26" fillId="0" borderId="0" xfId="0" applyFont="true" applyBorder="false" applyAlignment="true" applyProtection="false">
      <alignment horizontal="right" vertical="center" textRotation="0" wrapText="false" indent="1" shrinkToFit="false"/>
      <protection locked="true" hidden="false"/>
    </xf>
    <xf numFmtId="164" fontId="27" fillId="21" borderId="0" xfId="0" applyFont="true" applyBorder="false" applyAlignment="true" applyProtection="false">
      <alignment horizontal="left" vertical="top" textRotation="0" wrapText="true" indent="1" shrinkToFit="false"/>
      <protection locked="true" hidden="false"/>
    </xf>
    <xf numFmtId="167" fontId="27" fillId="21" borderId="0" xfId="0" applyFont="true" applyBorder="false" applyAlignment="true" applyProtection="false">
      <alignment horizontal="center" vertical="center" textRotation="0" wrapText="false" indent="0" shrinkToFit="false"/>
      <protection locked="true" hidden="false"/>
    </xf>
    <xf numFmtId="167" fontId="27" fillId="21" borderId="0" xfId="0" applyFont="true" applyBorder="false" applyAlignment="true" applyProtection="false">
      <alignment horizontal="center" vertical="top" textRotation="0" wrapText="true" indent="0" shrinkToFit="false"/>
      <protection locked="true" hidden="false"/>
    </xf>
    <xf numFmtId="167" fontId="26" fillId="21" borderId="0" xfId="0" applyFont="true" applyBorder="false" applyAlignment="true" applyProtection="false">
      <alignment horizontal="center" vertical="center" textRotation="0" wrapText="false" indent="0" shrinkToFit="false"/>
      <protection locked="true" hidden="false"/>
    </xf>
    <xf numFmtId="165" fontId="27" fillId="21" borderId="0" xfId="0" applyFont="true" applyBorder="false" applyAlignment="true" applyProtection="false">
      <alignment horizontal="right" vertical="center" textRotation="0" wrapText="false" indent="1" shrinkToFit="false"/>
      <protection locked="true" hidden="false"/>
    </xf>
    <xf numFmtId="196" fontId="100" fillId="21" borderId="0" xfId="0" applyFont="true" applyBorder="false" applyAlignment="true" applyProtection="false">
      <alignment horizontal="right" vertical="center" textRotation="0" wrapText="false" indent="1" shrinkToFit="false"/>
      <protection locked="true" hidden="false"/>
    </xf>
    <xf numFmtId="212" fontId="27" fillId="12" borderId="0" xfId="0" applyFont="true" applyBorder="false" applyAlignment="true" applyProtection="false">
      <alignment horizontal="center" vertical="center" textRotation="0" wrapText="false" indent="0" shrinkToFit="false"/>
      <protection locked="true" hidden="false"/>
    </xf>
    <xf numFmtId="166" fontId="27" fillId="0" borderId="0" xfId="0" applyFont="true" applyBorder="false" applyAlignment="true" applyProtection="false">
      <alignment horizontal="center" vertical="center" textRotation="0" wrapText="false" indent="0" shrinkToFit="false"/>
      <protection locked="true" hidden="false"/>
    </xf>
    <xf numFmtId="212" fontId="27" fillId="0" borderId="0" xfId="0" applyFont="true" applyBorder="false" applyAlignment="true" applyProtection="false">
      <alignment horizontal="center" vertical="top" textRotation="0" wrapText="true" indent="0" shrinkToFit="false"/>
      <protection locked="true" hidden="false"/>
    </xf>
    <xf numFmtId="165" fontId="100" fillId="0" borderId="0" xfId="0" applyFont="true" applyBorder="false" applyAlignment="true" applyProtection="false">
      <alignment horizontal="right" vertical="center" textRotation="0" wrapText="false" indent="1" shrinkToFit="false"/>
      <protection locked="true" hidden="false"/>
    </xf>
    <xf numFmtId="212" fontId="27" fillId="21" borderId="0" xfId="0" applyFont="true" applyBorder="false" applyAlignment="true" applyProtection="false">
      <alignment horizontal="center" vertical="center" textRotation="0" wrapText="false" indent="0" shrinkToFit="false"/>
      <protection locked="true" hidden="false"/>
    </xf>
    <xf numFmtId="166" fontId="27" fillId="21" borderId="0" xfId="0" applyFont="true" applyBorder="false" applyAlignment="true" applyProtection="false">
      <alignment horizontal="center" vertical="center" textRotation="0" wrapText="false" indent="0" shrinkToFit="false"/>
      <protection locked="true" hidden="false"/>
    </xf>
    <xf numFmtId="212" fontId="102" fillId="21" borderId="0" xfId="0" applyFont="true" applyBorder="false" applyAlignment="true" applyProtection="false">
      <alignment horizontal="center" vertical="top" textRotation="0" wrapText="true" indent="0" shrinkToFit="false"/>
      <protection locked="true" hidden="false"/>
    </xf>
    <xf numFmtId="165" fontId="102" fillId="21" borderId="0" xfId="0" applyFont="true" applyBorder="false" applyAlignment="true" applyProtection="false">
      <alignment horizontal="right" vertical="center" textRotation="0" wrapText="false" indent="1" shrinkToFit="false"/>
      <protection locked="true" hidden="false"/>
    </xf>
    <xf numFmtId="165" fontId="100" fillId="21" borderId="0" xfId="0" applyFont="true" applyBorder="false" applyAlignment="true" applyProtection="false">
      <alignment horizontal="right" vertical="center" textRotation="0" wrapText="false" indent="1" shrinkToFit="false"/>
      <protection locked="true" hidden="false"/>
    </xf>
    <xf numFmtId="164" fontId="37" fillId="0" borderId="0" xfId="0" applyFont="true" applyBorder="true" applyAlignment="true" applyProtection="false">
      <alignment horizontal="left" vertical="top" textRotation="0" wrapText="true" indent="1" shrinkToFit="false"/>
      <protection locked="true" hidden="false"/>
    </xf>
    <xf numFmtId="164" fontId="7" fillId="31" borderId="0" xfId="0" applyFont="true" applyBorder="false" applyAlignment="true" applyProtection="false">
      <alignment horizontal="center" vertical="center" textRotation="0" wrapText="false" indent="0" shrinkToFit="false"/>
      <protection locked="true" hidden="false"/>
    </xf>
    <xf numFmtId="164" fontId="123" fillId="0" borderId="0" xfId="0" applyFont="true" applyBorder="false" applyAlignment="true" applyProtection="false">
      <alignment horizontal="center" vertical="center" textRotation="0" wrapText="false" indent="0" shrinkToFit="false"/>
      <protection locked="true" hidden="false"/>
    </xf>
    <xf numFmtId="164" fontId="39"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23" fillId="31" borderId="0" xfId="0" applyFont="true" applyBorder="false" applyAlignment="true" applyProtection="false">
      <alignment horizontal="center" vertical="center" textRotation="0" wrapText="false" indent="0" shrinkToFit="false"/>
      <protection locked="true" hidden="false"/>
    </xf>
    <xf numFmtId="164" fontId="129" fillId="31" borderId="0" xfId="0" applyFont="true" applyBorder="false" applyAlignment="true" applyProtection="false">
      <alignment horizontal="center" vertical="center" textRotation="0" wrapText="false" indent="0" shrinkToFit="false"/>
      <protection locked="true" hidden="false"/>
    </xf>
    <xf numFmtId="176" fontId="24" fillId="5" borderId="0" xfId="0" applyFont="true" applyBorder="false" applyAlignment="true" applyProtection="false">
      <alignment horizontal="center" vertical="center" textRotation="0" wrapText="false" indent="0" shrinkToFit="false"/>
      <protection locked="true" hidden="false"/>
    </xf>
    <xf numFmtId="165" fontId="24" fillId="5" borderId="0" xfId="0" applyFont="true" applyBorder="false" applyAlignment="true" applyProtection="false">
      <alignment horizontal="right" vertical="center" textRotation="0" wrapText="false" indent="1" shrinkToFit="false"/>
      <protection locked="true" hidden="false"/>
    </xf>
    <xf numFmtId="165" fontId="36" fillId="12" borderId="17" xfId="0" applyFont="true" applyBorder="true" applyAlignment="true" applyProtection="false">
      <alignment horizontal="right" vertical="center" textRotation="0" wrapText="false" indent="1" shrinkToFit="false"/>
      <protection locked="true" hidden="false"/>
    </xf>
    <xf numFmtId="164" fontId="113" fillId="0" borderId="0" xfId="0" applyFont="true" applyBorder="false" applyAlignment="true" applyProtection="false">
      <alignment horizontal="left" vertical="top" textRotation="0" wrapText="true" indent="0" shrinkToFit="false"/>
      <protection locked="true" hidden="false"/>
    </xf>
    <xf numFmtId="164" fontId="98" fillId="0" borderId="0" xfId="0" applyFont="true" applyBorder="false" applyAlignment="true" applyProtection="false">
      <alignment horizontal="left" vertical="top" textRotation="0" wrapText="true" indent="1" shrinkToFit="false"/>
      <protection locked="true" hidden="false"/>
    </xf>
    <xf numFmtId="164" fontId="200" fillId="0" borderId="0" xfId="0" applyFont="true" applyBorder="false" applyAlignment="true" applyProtection="false">
      <alignment horizontal="left" vertical="top" textRotation="0" wrapText="true" indent="1" shrinkToFit="false"/>
      <protection locked="true" hidden="false"/>
    </xf>
    <xf numFmtId="165" fontId="200" fillId="21" borderId="0" xfId="0" applyFont="true" applyBorder="false" applyAlignment="true" applyProtection="false">
      <alignment horizontal="right" vertical="center" textRotation="0" wrapText="false" indent="1" shrinkToFit="false"/>
      <protection locked="true" hidden="false"/>
    </xf>
    <xf numFmtId="164" fontId="113" fillId="0" borderId="0" xfId="0" applyFont="true" applyBorder="false" applyAlignment="true" applyProtection="false">
      <alignment horizontal="left" vertical="center" textRotation="0" wrapText="false" indent="1" shrinkToFit="false"/>
      <protection locked="true" hidden="false"/>
    </xf>
    <xf numFmtId="167" fontId="20" fillId="12" borderId="0" xfId="0" applyFont="true" applyBorder="false" applyAlignment="true" applyProtection="false">
      <alignment horizontal="right" vertical="center" textRotation="0" wrapText="false" indent="1" shrinkToFit="false"/>
      <protection locked="true" hidden="false"/>
    </xf>
    <xf numFmtId="181" fontId="39" fillId="0" borderId="0" xfId="0" applyFont="true" applyBorder="false" applyAlignment="true" applyProtection="false">
      <alignment horizontal="right" vertical="center" textRotation="0" wrapText="false" indent="1" shrinkToFit="false"/>
      <protection locked="true" hidden="false"/>
    </xf>
    <xf numFmtId="176" fontId="27" fillId="0" borderId="0" xfId="0" applyFont="true" applyBorder="false" applyAlignment="true" applyProtection="false">
      <alignment horizontal="center" vertical="top" textRotation="0" wrapText="true" indent="0" shrinkToFit="false"/>
      <protection locked="true" hidden="false"/>
    </xf>
    <xf numFmtId="167" fontId="0" fillId="0" borderId="0" xfId="0" applyFont="false" applyBorder="false" applyAlignment="true" applyProtection="false">
      <alignment horizontal="right" vertical="center" textRotation="0" wrapText="false" indent="1" shrinkToFit="false"/>
      <protection locked="true" hidden="false"/>
    </xf>
    <xf numFmtId="166" fontId="0" fillId="0" borderId="0" xfId="0" applyFont="false" applyBorder="false" applyAlignment="true" applyProtection="false">
      <alignment horizontal="right" vertical="center" textRotation="0" wrapText="false" indent="1" shrinkToFit="false"/>
      <protection locked="true" hidden="false"/>
    </xf>
    <xf numFmtId="181" fontId="0" fillId="0" borderId="0" xfId="0" applyFont="false" applyBorder="false" applyAlignment="true" applyProtection="false">
      <alignment horizontal="right" vertical="center" textRotation="0" wrapText="false" indent="1" shrinkToFit="false"/>
      <protection locked="true" hidden="false"/>
    </xf>
    <xf numFmtId="176" fontId="0" fillId="0" borderId="0" xfId="0" applyFont="false" applyBorder="false" applyAlignment="true" applyProtection="false">
      <alignment horizontal="center" vertical="top" textRotation="0" wrapText="true" indent="0" shrinkToFit="false"/>
      <protection locked="true" hidden="false"/>
    </xf>
    <xf numFmtId="165" fontId="20" fillId="12" borderId="0" xfId="0" applyFont="true" applyBorder="false" applyAlignment="true" applyProtection="false">
      <alignment horizontal="right" vertical="center" textRotation="0" wrapText="false" indent="1" shrinkToFit="false"/>
      <protection locked="true" hidden="false"/>
    </xf>
    <xf numFmtId="165" fontId="39" fillId="0" borderId="0" xfId="0" applyFont="true" applyBorder="false" applyAlignment="true" applyProtection="false">
      <alignment horizontal="right" vertical="center" textRotation="0" wrapText="false" indent="1" shrinkToFit="false"/>
      <protection locked="true" hidden="false"/>
    </xf>
    <xf numFmtId="174" fontId="27" fillId="0" borderId="0" xfId="0" applyFont="true" applyBorder="false" applyAlignment="true" applyProtection="false">
      <alignment horizontal="center" vertical="top" textRotation="0" wrapText="true" indent="0" shrinkToFit="false"/>
      <protection locked="true" hidden="false"/>
    </xf>
    <xf numFmtId="165" fontId="0" fillId="0" borderId="0" xfId="0" applyFont="false" applyBorder="false" applyAlignment="true" applyProtection="false">
      <alignment horizontal="right" vertical="center" textRotation="0" wrapText="false" indent="1" shrinkToFit="false"/>
      <protection locked="true" hidden="false"/>
    </xf>
    <xf numFmtId="167" fontId="36" fillId="12" borderId="17" xfId="0" applyFont="true" applyBorder="true" applyAlignment="true" applyProtection="false">
      <alignment horizontal="right" vertical="center" textRotation="0" wrapText="false" indent="1" shrinkToFit="false"/>
      <protection locked="true" hidden="false"/>
    </xf>
    <xf numFmtId="167" fontId="36" fillId="12" borderId="0" xfId="0" applyFont="true" applyBorder="false" applyAlignment="true" applyProtection="false">
      <alignment horizontal="right" vertical="center" textRotation="0" wrapText="false" indent="1" shrinkToFit="false"/>
      <protection locked="true" hidden="false"/>
    </xf>
    <xf numFmtId="167" fontId="114" fillId="12" borderId="0" xfId="0" applyFont="true" applyBorder="false" applyAlignment="true" applyProtection="false">
      <alignment horizontal="right" vertical="center" textRotation="0" wrapText="false" indent="1" shrinkToFit="false"/>
      <protection locked="true" hidden="false"/>
    </xf>
    <xf numFmtId="166" fontId="114" fillId="12" borderId="0" xfId="0" applyFont="true" applyBorder="false" applyAlignment="true" applyProtection="false">
      <alignment horizontal="right" vertical="center" textRotation="0" wrapText="false" indent="1" shrinkToFit="false"/>
      <protection locked="true" hidden="false"/>
    </xf>
    <xf numFmtId="164" fontId="145" fillId="0" borderId="0" xfId="0" applyFont="true" applyBorder="false" applyAlignment="true" applyProtection="false">
      <alignment horizontal="left" vertical="center" textRotation="0" wrapText="false" indent="1" shrinkToFit="false"/>
      <protection locked="true" hidden="false"/>
    </xf>
    <xf numFmtId="167" fontId="20" fillId="5" borderId="0" xfId="0" applyFont="true" applyBorder="false" applyAlignment="true" applyProtection="false">
      <alignment horizontal="right" vertical="center" textRotation="0" wrapText="false" indent="1" shrinkToFit="false"/>
      <protection locked="true" hidden="false"/>
    </xf>
    <xf numFmtId="167" fontId="200" fillId="5" borderId="0" xfId="0" applyFont="true" applyBorder="false" applyAlignment="true" applyProtection="false">
      <alignment horizontal="right" vertical="center" textRotation="0" wrapText="false" indent="1" shrinkToFit="false"/>
      <protection locked="true" hidden="false"/>
    </xf>
    <xf numFmtId="166" fontId="26" fillId="12" borderId="0" xfId="0" applyFont="true" applyBorder="false" applyAlignment="true" applyProtection="false">
      <alignment horizontal="right" vertical="center" textRotation="0" wrapText="false" indent="1" shrinkToFit="false"/>
      <protection locked="true" hidden="false"/>
    </xf>
    <xf numFmtId="164" fontId="107" fillId="0" borderId="0" xfId="0" applyFont="true" applyBorder="false" applyAlignment="true" applyProtection="false">
      <alignment horizontal="left" vertical="top" textRotation="0" wrapText="true" indent="1" shrinkToFit="false"/>
      <protection locked="true" hidden="false"/>
    </xf>
    <xf numFmtId="165" fontId="114" fillId="5" borderId="0" xfId="0" applyFont="true" applyBorder="false" applyAlignment="true" applyProtection="false">
      <alignment horizontal="right" vertical="center" textRotation="0" wrapText="false" indent="1" shrinkToFit="false"/>
      <protection locked="true" hidden="false"/>
    </xf>
    <xf numFmtId="165" fontId="36" fillId="5" borderId="0" xfId="0" applyFont="true" applyBorder="false" applyAlignment="true" applyProtection="false">
      <alignment horizontal="right" vertical="center" textRotation="0" wrapText="false" indent="1" shrinkToFit="false"/>
      <protection locked="true" hidden="false"/>
    </xf>
    <xf numFmtId="165" fontId="200" fillId="0" borderId="0" xfId="0" applyFont="true" applyBorder="false" applyAlignment="true" applyProtection="false">
      <alignment horizontal="right" vertical="center" textRotation="0" wrapText="false" indent="1" shrinkToFit="false"/>
      <protection locked="true" hidden="false"/>
    </xf>
    <xf numFmtId="165" fontId="25" fillId="8" borderId="0" xfId="0" applyFont="true" applyBorder="false" applyAlignment="true" applyProtection="false">
      <alignment horizontal="right" vertical="center" textRotation="0" wrapText="false" indent="1" shrinkToFit="false"/>
      <protection locked="true" hidden="false"/>
    </xf>
    <xf numFmtId="165" fontId="133" fillId="0" borderId="0" xfId="0" applyFont="true" applyBorder="false" applyAlignment="true" applyProtection="false">
      <alignment horizontal="right" vertical="center" textRotation="0" wrapText="false" indent="1" shrinkToFit="false"/>
      <protection locked="true" hidden="false"/>
    </xf>
    <xf numFmtId="166" fontId="140" fillId="31" borderId="0" xfId="0" applyFont="true" applyBorder="false" applyAlignment="true" applyProtection="false">
      <alignment horizontal="right" vertical="center" textRotation="0" wrapText="false" indent="1" shrinkToFit="false"/>
      <protection locked="true" hidden="false"/>
    </xf>
    <xf numFmtId="176" fontId="135" fillId="12" borderId="0" xfId="0" applyFont="true" applyBorder="false" applyAlignment="true" applyProtection="false">
      <alignment horizontal="right" vertical="center" textRotation="0" wrapText="false" indent="1" shrinkToFit="false"/>
      <protection locked="true" hidden="false"/>
    </xf>
    <xf numFmtId="174" fontId="135" fillId="12" borderId="0" xfId="0" applyFont="true" applyBorder="false" applyAlignment="true" applyProtection="false">
      <alignment horizontal="right" vertical="center" textRotation="0" wrapText="false" indent="1" shrinkToFit="false"/>
      <protection locked="true" hidden="false"/>
    </xf>
    <xf numFmtId="167" fontId="135" fillId="12" borderId="0" xfId="0" applyFont="true" applyBorder="false" applyAlignment="true" applyProtection="false">
      <alignment horizontal="right" vertical="center" textRotation="0" wrapText="false" indent="1" shrinkToFit="false"/>
      <protection locked="true" hidden="false"/>
    </xf>
    <xf numFmtId="165" fontId="12" fillId="5" borderId="0" xfId="0" applyFont="true" applyBorder="false" applyAlignment="true" applyProtection="false">
      <alignment horizontal="right" vertical="center" textRotation="0" wrapText="false" indent="1" shrinkToFit="false"/>
      <protection locked="true" hidden="false"/>
    </xf>
    <xf numFmtId="166" fontId="12" fillId="5" borderId="0" xfId="0" applyFont="true" applyBorder="false" applyAlignment="true" applyProtection="false">
      <alignment horizontal="right" vertical="center" textRotation="0" wrapText="false" indent="1" shrinkToFit="false"/>
      <protection locked="true" hidden="false"/>
    </xf>
    <xf numFmtId="176" fontId="36" fillId="12" borderId="0" xfId="0" applyFont="true" applyBorder="false" applyAlignment="true" applyProtection="false">
      <alignment horizontal="right" vertical="center" textRotation="0" wrapText="false" indent="1" shrinkToFit="false"/>
      <protection locked="true" hidden="false"/>
    </xf>
    <xf numFmtId="176" fontId="12" fillId="5" borderId="0" xfId="0" applyFont="true" applyBorder="false" applyAlignment="true" applyProtection="false">
      <alignment horizontal="right" vertical="center" textRotation="0" wrapText="false" indent="1" shrinkToFit="false"/>
      <protection locked="true" hidden="false"/>
    </xf>
    <xf numFmtId="167" fontId="108" fillId="0" borderId="0" xfId="0" applyFont="true" applyBorder="false" applyAlignment="true" applyProtection="false">
      <alignment horizontal="right" vertical="center" textRotation="0" wrapText="false" indent="1" shrinkToFit="false"/>
      <protection locked="true" hidden="false"/>
    </xf>
    <xf numFmtId="164" fontId="113" fillId="21"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27" fillId="12" borderId="0" xfId="0" applyFont="true" applyBorder="false" applyAlignment="true" applyProtection="false">
      <alignment horizontal="right" vertical="center" textRotation="0" wrapText="false" indent="1" shrinkToFit="false"/>
      <protection locked="true" hidden="false"/>
    </xf>
    <xf numFmtId="188" fontId="27" fillId="12" borderId="0" xfId="0" applyFont="true" applyBorder="false" applyAlignment="true" applyProtection="false">
      <alignment horizontal="right" vertical="center" textRotation="0" wrapText="false" indent="1" shrinkToFit="false"/>
      <protection locked="true" hidden="false"/>
    </xf>
    <xf numFmtId="176" fontId="102" fillId="5" borderId="0" xfId="0" applyFont="true" applyBorder="false" applyAlignment="true" applyProtection="false">
      <alignment horizontal="right" vertical="center" textRotation="0" wrapText="false" indent="1" shrinkToFit="false"/>
      <protection locked="true" hidden="false"/>
    </xf>
    <xf numFmtId="176" fontId="26" fillId="12" borderId="0" xfId="0" applyFont="true" applyBorder="false" applyAlignment="true" applyProtection="false">
      <alignment horizontal="right" vertical="center" textRotation="0" wrapText="false" indent="1" shrinkToFit="false"/>
      <protection locked="true" hidden="false"/>
    </xf>
    <xf numFmtId="176" fontId="191" fillId="5" borderId="0" xfId="0" applyFont="true" applyBorder="false" applyAlignment="true" applyProtection="false">
      <alignment horizontal="right" vertical="center" textRotation="0" wrapText="false" indent="1" shrinkToFit="false"/>
      <protection locked="true" hidden="false"/>
    </xf>
    <xf numFmtId="165" fontId="191" fillId="5" borderId="0" xfId="0" applyFont="true" applyBorder="false" applyAlignment="true" applyProtection="false">
      <alignment horizontal="right" vertical="center" textRotation="0" wrapText="false" indent="1" shrinkToFit="false"/>
      <protection locked="true" hidden="false"/>
    </xf>
    <xf numFmtId="165" fontId="199" fillId="5" borderId="0" xfId="0" applyFont="true" applyBorder="false" applyAlignment="true" applyProtection="false">
      <alignment horizontal="right" vertical="center" textRotation="0" wrapText="false" indent="1" shrinkToFit="false"/>
      <protection locked="true" hidden="false"/>
    </xf>
    <xf numFmtId="174" fontId="102" fillId="5" borderId="0" xfId="0" applyFont="true" applyBorder="false" applyAlignment="true" applyProtection="false">
      <alignment horizontal="right" vertical="center" textRotation="0" wrapText="false" indent="1" shrinkToFit="false"/>
      <protection locked="true" hidden="false"/>
    </xf>
    <xf numFmtId="174" fontId="26" fillId="12" borderId="0" xfId="0" applyFont="true" applyBorder="false" applyAlignment="true" applyProtection="false">
      <alignment horizontal="right" vertical="center" textRotation="0" wrapText="false" indent="1" shrinkToFit="false"/>
      <protection locked="true" hidden="false"/>
    </xf>
    <xf numFmtId="174" fontId="191" fillId="5" borderId="0" xfId="0" applyFont="true" applyBorder="false" applyAlignment="true" applyProtection="false">
      <alignment horizontal="right" vertical="center" textRotation="0" wrapText="false" indent="1" shrinkToFit="false"/>
      <protection locked="true" hidden="false"/>
    </xf>
    <xf numFmtId="165" fontId="20" fillId="0" borderId="0" xfId="0" applyFont="true" applyBorder="false" applyAlignment="true" applyProtection="false">
      <alignment horizontal="right" vertical="center" textRotation="0" wrapText="false" indent="1" shrinkToFit="false"/>
      <protection locked="true" hidden="false"/>
    </xf>
    <xf numFmtId="164" fontId="47" fillId="49" borderId="0" xfId="0" applyFont="true" applyBorder="false" applyAlignment="true" applyProtection="false">
      <alignment horizontal="center" vertical="top" textRotation="0" wrapText="true" indent="0" shrinkToFit="false"/>
      <protection locked="true" hidden="false"/>
    </xf>
    <xf numFmtId="164" fontId="47" fillId="49" borderId="0" xfId="0" applyFont="true" applyBorder="false" applyAlignment="true" applyProtection="false">
      <alignment horizontal="center" vertical="center" textRotation="0" wrapText="false" indent="0" shrinkToFit="false"/>
      <protection locked="true" hidden="false"/>
    </xf>
    <xf numFmtId="165" fontId="144" fillId="12" borderId="0" xfId="0" applyFont="true" applyBorder="false" applyAlignment="true" applyProtection="false">
      <alignment horizontal="right" vertical="center" textRotation="0" wrapText="false" indent="1" shrinkToFit="false"/>
      <protection locked="true" hidden="false"/>
    </xf>
    <xf numFmtId="165" fontId="0" fillId="0" borderId="0" xfId="0" applyFont="false" applyBorder="false" applyAlignment="true" applyProtection="false">
      <alignment horizontal="right" vertical="top" textRotation="0" wrapText="true" indent="1" shrinkToFit="false"/>
      <protection locked="true" hidden="false"/>
    </xf>
    <xf numFmtId="165" fontId="191" fillId="0" borderId="0" xfId="0" applyFont="true" applyBorder="false" applyAlignment="true" applyProtection="false">
      <alignment horizontal="right" vertical="center" textRotation="0" wrapText="false" indent="1" shrinkToFit="false"/>
      <protection locked="true" hidden="false"/>
    </xf>
    <xf numFmtId="164" fontId="27" fillId="5" borderId="0" xfId="0" applyFont="true" applyBorder="false" applyAlignment="true" applyProtection="false">
      <alignment horizontal="right" vertical="center" textRotation="0" wrapText="false" indent="1" shrinkToFit="false"/>
      <protection locked="true" hidden="false"/>
    </xf>
    <xf numFmtId="164" fontId="147" fillId="0" borderId="0" xfId="0" applyFont="true" applyBorder="false" applyAlignment="true" applyProtection="false">
      <alignment horizontal="left" vertical="top" textRotation="0" wrapText="true" indent="1" shrinkToFit="false"/>
      <protection locked="true" hidden="false"/>
    </xf>
    <xf numFmtId="164" fontId="27" fillId="0" borderId="18" xfId="0" applyFont="true" applyBorder="true" applyAlignment="true" applyProtection="false">
      <alignment horizontal="left" vertical="top" textRotation="0" wrapText="true" indent="1" shrinkToFit="false"/>
      <protection locked="true" hidden="false"/>
    </xf>
    <xf numFmtId="164" fontId="38" fillId="0" borderId="18" xfId="0" applyFont="true" applyBorder="true" applyAlignment="true" applyProtection="false">
      <alignment horizontal="left" vertical="top" textRotation="0" wrapText="true" indent="1" shrinkToFit="false"/>
      <protection locked="true" hidden="false"/>
    </xf>
    <xf numFmtId="164" fontId="39" fillId="0" borderId="18" xfId="0" applyFont="true" applyBorder="true" applyAlignment="true" applyProtection="false">
      <alignment horizontal="left" vertical="center" textRotation="0" wrapText="false" indent="1" shrinkToFit="false"/>
      <protection locked="true" hidden="false"/>
    </xf>
    <xf numFmtId="166" fontId="166" fillId="31" borderId="13" xfId="0" applyFont="true" applyBorder="true" applyAlignment="true" applyProtection="false">
      <alignment horizontal="center" vertical="center" textRotation="0" wrapText="false" indent="0" shrinkToFit="false"/>
      <protection locked="true" hidden="false"/>
    </xf>
    <xf numFmtId="166" fontId="140" fillId="31" borderId="13" xfId="0" applyFont="true" applyBorder="true" applyAlignment="true" applyProtection="false">
      <alignment horizontal="center" vertical="center" textRotation="0" wrapText="false" indent="0" shrinkToFit="false"/>
      <protection locked="true" hidden="false"/>
    </xf>
    <xf numFmtId="166" fontId="166" fillId="31" borderId="13" xfId="0" applyFont="true" applyBorder="true" applyAlignment="true" applyProtection="false">
      <alignment horizontal="center" vertical="top" textRotation="0" wrapText="true" indent="0" shrinkToFit="false"/>
      <protection locked="true" hidden="false"/>
    </xf>
    <xf numFmtId="174" fontId="199" fillId="12" borderId="16" xfId="0" applyFont="true" applyBorder="true" applyAlignment="true" applyProtection="false">
      <alignment horizontal="center" vertical="center" textRotation="0" wrapText="false" indent="0" shrinkToFit="false"/>
      <protection locked="true" hidden="false"/>
    </xf>
    <xf numFmtId="170" fontId="199" fillId="12" borderId="16" xfId="0" applyFont="true" applyBorder="true" applyAlignment="true" applyProtection="false">
      <alignment horizontal="center" vertical="center" textRotation="0" wrapText="false" indent="0" shrinkToFit="false"/>
      <protection locked="true" hidden="false"/>
    </xf>
    <xf numFmtId="167" fontId="202" fillId="12" borderId="0" xfId="0" applyFont="true" applyBorder="false" applyAlignment="true" applyProtection="false">
      <alignment horizontal="center" vertical="center" textRotation="0" wrapText="false" indent="1" shrinkToFit="false"/>
      <protection locked="true" hidden="false"/>
    </xf>
    <xf numFmtId="164" fontId="39" fillId="0" borderId="0" xfId="0" applyFont="true" applyBorder="false" applyAlignment="true" applyProtection="false">
      <alignment horizontal="left" vertical="top" textRotation="0" wrapText="true" indent="2" shrinkToFit="false"/>
      <protection locked="true" hidden="false"/>
    </xf>
    <xf numFmtId="182" fontId="27" fillId="12" borderId="0" xfId="0" applyFont="true" applyBorder="false" applyAlignment="true" applyProtection="false">
      <alignment horizontal="right" vertical="center" textRotation="0" wrapText="false" indent="1" shrinkToFit="false"/>
      <protection locked="true" hidden="false"/>
    </xf>
    <xf numFmtId="164" fontId="30" fillId="4" borderId="0" xfId="0" applyFont="true" applyBorder="false" applyAlignment="true" applyProtection="false">
      <alignment horizontal="center" vertical="center" textRotation="0" wrapText="true" indent="0" shrinkToFit="false"/>
      <protection locked="true" hidden="false"/>
    </xf>
    <xf numFmtId="164" fontId="101" fillId="0" borderId="0" xfId="0" applyFont="true" applyBorder="false" applyAlignment="true" applyProtection="false">
      <alignment horizontal="left" vertical="top" textRotation="0" wrapText="true" indent="0" shrinkToFit="false"/>
      <protection locked="true" hidden="false"/>
    </xf>
    <xf numFmtId="167" fontId="140" fillId="31" borderId="0" xfId="0" applyFont="true" applyBorder="false" applyAlignment="true" applyProtection="false">
      <alignment horizontal="center" vertical="center" textRotation="0" wrapText="false" indent="0" shrinkToFit="false"/>
      <protection locked="true" hidden="false"/>
    </xf>
    <xf numFmtId="174" fontId="140" fillId="31" borderId="0" xfId="0" applyFont="true" applyBorder="false" applyAlignment="true" applyProtection="false">
      <alignment horizontal="right" vertical="center" textRotation="0" wrapText="false" indent="1" shrinkToFit="false"/>
      <protection locked="true" hidden="false"/>
    </xf>
    <xf numFmtId="165" fontId="107" fillId="31" borderId="0" xfId="0" applyFont="true" applyBorder="false" applyAlignment="true" applyProtection="false">
      <alignment horizontal="center" vertical="center" textRotation="0" wrapText="false" indent="0" shrinkToFit="false"/>
      <protection locked="true" hidden="false"/>
    </xf>
    <xf numFmtId="165" fontId="140" fillId="31" borderId="0" xfId="0" applyFont="true" applyBorder="false" applyAlignment="true" applyProtection="false">
      <alignment horizontal="center" vertical="center" textRotation="0" wrapText="false" indent="0" shrinkToFit="false"/>
      <protection locked="true" hidden="false"/>
    </xf>
    <xf numFmtId="165" fontId="166" fillId="31" borderId="0" xfId="0" applyFont="true" applyBorder="false" applyAlignment="true" applyProtection="false">
      <alignment horizontal="center" vertical="top" textRotation="0" wrapText="true" indent="0" shrinkToFit="false"/>
      <protection locked="true" hidden="false"/>
    </xf>
    <xf numFmtId="165" fontId="199" fillId="12" borderId="0" xfId="0" applyFont="true" applyBorder="false" applyAlignment="true" applyProtection="false">
      <alignment horizontal="center" vertical="center" textRotation="0" wrapText="false" indent="0" shrinkToFit="false"/>
      <protection locked="true" hidden="false"/>
    </xf>
    <xf numFmtId="165" fontId="203" fillId="12" borderId="0" xfId="0" applyFont="true" applyBorder="false" applyAlignment="true" applyProtection="false">
      <alignment horizontal="center" vertical="center" textRotation="0" wrapText="false" indent="0" shrinkToFit="false"/>
      <protection locked="true" hidden="false"/>
    </xf>
    <xf numFmtId="165" fontId="202" fillId="12" borderId="0" xfId="0" applyFont="true" applyBorder="false" applyAlignment="true" applyProtection="false">
      <alignment horizontal="right" vertical="center" textRotation="0" wrapText="false" indent="1" shrinkToFit="false"/>
      <protection locked="true" hidden="false"/>
    </xf>
    <xf numFmtId="201" fontId="27" fillId="12" borderId="0" xfId="0" applyFont="true" applyBorder="false" applyAlignment="true" applyProtection="false">
      <alignment horizontal="right" vertical="center" textRotation="0" wrapText="false" indent="1" shrinkToFit="false"/>
      <protection locked="true" hidden="false"/>
    </xf>
    <xf numFmtId="209" fontId="26" fillId="12" borderId="0" xfId="0" applyFont="true" applyBorder="false" applyAlignment="true" applyProtection="false">
      <alignment horizontal="right" vertical="center" textRotation="0" wrapText="false" indent="1" shrinkToFit="false"/>
      <protection locked="true" hidden="false"/>
    </xf>
    <xf numFmtId="201" fontId="26" fillId="12" borderId="0" xfId="0" applyFont="true" applyBorder="false" applyAlignment="true" applyProtection="false">
      <alignment horizontal="right" vertical="center" textRotation="0" wrapText="false" indent="1" shrinkToFit="false"/>
      <protection locked="true" hidden="false"/>
    </xf>
    <xf numFmtId="213" fontId="26" fillId="12" borderId="0" xfId="0" applyFont="true" applyBorder="false" applyAlignment="true" applyProtection="false">
      <alignment horizontal="right" vertical="center" textRotation="0" wrapText="false" indent="1" shrinkToFit="false"/>
      <protection locked="true" hidden="false"/>
    </xf>
    <xf numFmtId="167" fontId="16" fillId="12" borderId="0" xfId="0" applyFont="true" applyBorder="false" applyAlignment="true" applyProtection="false">
      <alignment horizontal="center" vertical="center" textRotation="0" wrapText="false" indent="0" shrinkToFit="false"/>
      <protection locked="true" hidden="false"/>
    </xf>
    <xf numFmtId="167" fontId="16" fillId="12" borderId="0" xfId="0" applyFont="true" applyBorder="false" applyAlignment="true" applyProtection="false">
      <alignment horizontal="center" vertical="top" textRotation="0" wrapText="true" indent="0" shrinkToFit="false"/>
      <protection locked="true" hidden="false"/>
    </xf>
    <xf numFmtId="167" fontId="201" fillId="0" borderId="0" xfId="0" applyFont="true" applyBorder="false" applyAlignment="true" applyProtection="false">
      <alignment horizontal="center" vertical="center" textRotation="0" wrapText="false" indent="0" shrinkToFit="false"/>
      <protection locked="true" hidden="false"/>
    </xf>
    <xf numFmtId="167" fontId="201" fillId="0" borderId="0" xfId="0" applyFont="true" applyBorder="false" applyAlignment="true" applyProtection="false">
      <alignment horizontal="center" vertical="top" textRotation="0" wrapText="true" indent="0" shrinkToFit="false"/>
      <protection locked="true" hidden="false"/>
    </xf>
    <xf numFmtId="206" fontId="27" fillId="12" borderId="0" xfId="0" applyFont="true" applyBorder="false" applyAlignment="true" applyProtection="false">
      <alignment horizontal="center" vertical="center" textRotation="0" wrapText="false" indent="0" shrinkToFit="false"/>
      <protection locked="true" hidden="false"/>
    </xf>
    <xf numFmtId="166" fontId="27" fillId="12" borderId="0" xfId="0" applyFont="true" applyBorder="false" applyAlignment="true" applyProtection="false">
      <alignment horizontal="center" vertical="top" textRotation="0" wrapText="true" indent="0" shrinkToFit="false"/>
      <protection locked="true" hidden="false"/>
    </xf>
    <xf numFmtId="165" fontId="27" fillId="12"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left" vertical="top" textRotation="0" wrapText="true" indent="3" shrinkToFit="false"/>
      <protection locked="true" hidden="false"/>
    </xf>
    <xf numFmtId="206" fontId="27" fillId="31" borderId="0" xfId="0" applyFont="true" applyBorder="false" applyAlignment="true" applyProtection="false">
      <alignment horizontal="right" vertical="center" textRotation="0" wrapText="false" indent="1" shrinkToFit="false"/>
      <protection locked="true" hidden="false"/>
    </xf>
    <xf numFmtId="188" fontId="26" fillId="12" borderId="0" xfId="0" applyFont="true" applyBorder="false" applyAlignment="true" applyProtection="false">
      <alignment horizontal="right" vertical="center" textRotation="0" wrapText="false" indent="1" shrinkToFit="false"/>
      <protection locked="true" hidden="false"/>
    </xf>
    <xf numFmtId="167" fontId="26" fillId="31" borderId="0" xfId="0" applyFont="true" applyBorder="false" applyAlignment="true" applyProtection="false">
      <alignment horizontal="right" vertical="center" textRotation="0" wrapText="false" indent="1" shrinkToFit="false"/>
      <protection locked="true" hidden="false"/>
    </xf>
    <xf numFmtId="167" fontId="27" fillId="0" borderId="0" xfId="0" applyFont="true" applyBorder="false" applyAlignment="true" applyProtection="false">
      <alignment horizontal="right" vertical="top" textRotation="0" wrapText="true" indent="1" shrinkToFit="false"/>
      <protection locked="true" hidden="false"/>
    </xf>
    <xf numFmtId="164" fontId="20" fillId="12" borderId="0" xfId="0" applyFont="true" applyBorder="false" applyAlignment="true" applyProtection="false">
      <alignment horizontal="left" vertical="top" textRotation="0" wrapText="true" indent="1" shrinkToFit="false"/>
      <protection locked="true" hidden="false"/>
    </xf>
    <xf numFmtId="165" fontId="137" fillId="12" borderId="0" xfId="0" applyFont="true" applyBorder="false" applyAlignment="true" applyProtection="false">
      <alignment horizontal="right" vertical="center" textRotation="0" wrapText="false" indent="1" shrinkToFit="false"/>
      <protection locked="true" hidden="false"/>
    </xf>
    <xf numFmtId="164" fontId="106" fillId="0" borderId="0" xfId="0" applyFont="true" applyBorder="false" applyAlignment="false" applyProtection="false">
      <alignment horizontal="general" vertical="bottom" textRotation="0" wrapText="false" indent="0" shrinkToFit="false"/>
      <protection locked="true" hidden="false"/>
    </xf>
    <xf numFmtId="164" fontId="121" fillId="0" borderId="0" xfId="0" applyFont="true" applyBorder="false" applyAlignment="true" applyProtection="false">
      <alignment horizontal="center" vertical="center" textRotation="0" wrapText="false" indent="0" shrinkToFit="false"/>
      <protection locked="true" hidden="false"/>
    </xf>
    <xf numFmtId="214" fontId="27" fillId="12" borderId="0" xfId="0" applyFont="true" applyBorder="false" applyAlignment="true" applyProtection="false">
      <alignment horizontal="right" vertical="center" textRotation="0" wrapText="false" indent="1" shrinkToFit="false"/>
      <protection locked="true" hidden="false"/>
    </xf>
    <xf numFmtId="167" fontId="24" fillId="5" borderId="0" xfId="0" applyFont="true" applyBorder="false" applyAlignment="true" applyProtection="false">
      <alignment horizontal="center" vertical="center" textRotation="0" wrapText="false" indent="0" shrinkToFit="false"/>
      <protection locked="true" hidden="false"/>
    </xf>
    <xf numFmtId="164" fontId="98" fillId="0" borderId="0" xfId="0" applyFont="true" applyBorder="true" applyAlignment="true" applyProtection="false">
      <alignment horizontal="left" vertical="top" textRotation="0" wrapText="true" indent="1" shrinkToFit="false"/>
      <protection locked="true" hidden="false"/>
    </xf>
    <xf numFmtId="164" fontId="36" fillId="5" borderId="0" xfId="0" applyFont="true" applyBorder="false" applyAlignment="true" applyProtection="false">
      <alignment horizontal="center" vertical="center" textRotation="0" wrapText="false" indent="0" shrinkToFit="false"/>
      <protection locked="true" hidden="false"/>
    </xf>
    <xf numFmtId="167" fontId="136" fillId="12" borderId="0" xfId="0" applyFont="true" applyBorder="false" applyAlignment="true" applyProtection="false">
      <alignment horizontal="center" vertical="center" textRotation="0" wrapText="false" indent="0" shrinkToFit="false"/>
      <protection locked="true" hidden="false"/>
    </xf>
    <xf numFmtId="174" fontId="107" fillId="0" borderId="0" xfId="0" applyFont="true" applyBorder="false" applyAlignment="true" applyProtection="false">
      <alignment horizontal="right" vertical="center" textRotation="0" wrapText="false" indent="1" shrinkToFit="false"/>
      <protection locked="true" hidden="false"/>
    </xf>
    <xf numFmtId="165" fontId="114" fillId="12" borderId="0" xfId="0" applyFont="true" applyBorder="false" applyAlignment="true" applyProtection="false">
      <alignment horizontal="right" vertical="center" textRotation="0" wrapText="false" indent="1" shrinkToFit="false"/>
      <protection locked="true" hidden="false"/>
    </xf>
    <xf numFmtId="164" fontId="24" fillId="0" borderId="0" xfId="0" applyFont="true" applyBorder="true" applyAlignment="true" applyProtection="false">
      <alignment horizontal="left" vertical="top" textRotation="0" wrapText="true" indent="1" shrinkToFit="false"/>
      <protection locked="true" hidden="false"/>
    </xf>
    <xf numFmtId="164" fontId="25" fillId="8" borderId="0" xfId="0" applyFont="true" applyBorder="false" applyAlignment="true" applyProtection="false">
      <alignment horizontal="left" vertical="top" textRotation="0" wrapText="true" indent="1" shrinkToFit="false"/>
      <protection locked="true" hidden="false"/>
    </xf>
    <xf numFmtId="165" fontId="20" fillId="5" borderId="0" xfId="0" applyFont="true" applyBorder="false" applyAlignment="true" applyProtection="false">
      <alignment horizontal="right" vertical="center" textRotation="0" wrapText="false" indent="1" shrinkToFit="false"/>
      <protection locked="true" hidden="false"/>
    </xf>
    <xf numFmtId="165" fontId="200" fillId="5" borderId="0" xfId="0" applyFont="true" applyBorder="false" applyAlignment="true" applyProtection="false">
      <alignment horizontal="right" vertical="center" textRotation="0" wrapText="false" indent="1" shrinkToFit="false"/>
      <protection locked="true" hidden="false"/>
    </xf>
    <xf numFmtId="164" fontId="203" fillId="0" borderId="0" xfId="0" applyFont="true" applyBorder="false" applyAlignment="true" applyProtection="false">
      <alignment horizontal="left" vertical="top" textRotation="0" wrapText="true" indent="1" shrinkToFit="false"/>
      <protection locked="true" hidden="false"/>
    </xf>
    <xf numFmtId="165" fontId="9" fillId="8" borderId="0" xfId="0" applyFont="true" applyBorder="false" applyAlignment="true" applyProtection="false">
      <alignment horizontal="right" vertical="center" textRotation="0" wrapText="false" indent="1" shrinkToFit="false"/>
      <protection locked="true" hidden="false"/>
    </xf>
    <xf numFmtId="174" fontId="24" fillId="0" borderId="0" xfId="0" applyFont="true" applyBorder="false" applyAlignment="true" applyProtection="false">
      <alignment horizontal="right" vertical="center" textRotation="0" wrapText="false" indent="1" shrinkToFit="false"/>
      <protection locked="true" hidden="false"/>
    </xf>
    <xf numFmtId="200" fontId="24" fillId="0" borderId="0" xfId="0" applyFont="true" applyBorder="false" applyAlignment="true" applyProtection="false">
      <alignment horizontal="right" vertical="center" textRotation="0" wrapText="false" indent="1" shrinkToFit="false"/>
      <protection locked="true" hidden="false"/>
    </xf>
    <xf numFmtId="164" fontId="107" fillId="0" borderId="0" xfId="0" applyFont="true" applyBorder="false" applyAlignment="true" applyProtection="false">
      <alignment horizontal="left" vertical="top" textRotation="0" wrapText="true" indent="0" shrinkToFit="false"/>
      <protection locked="true" hidden="false"/>
    </xf>
    <xf numFmtId="165" fontId="47" fillId="4" borderId="0" xfId="0" applyFont="true" applyBorder="false" applyAlignment="true" applyProtection="false">
      <alignment horizontal="right" vertical="top" textRotation="0" wrapText="true" indent="1" shrinkToFit="false"/>
      <protection locked="true" hidden="false"/>
    </xf>
    <xf numFmtId="164" fontId="24" fillId="0" borderId="0" xfId="0" applyFont="true" applyBorder="false" applyAlignment="true" applyProtection="false">
      <alignment horizontal="left" vertical="top" textRotation="0" wrapText="true" indent="2" shrinkToFit="false"/>
      <protection locked="true" hidden="false"/>
    </xf>
    <xf numFmtId="165" fontId="25" fillId="8" borderId="0" xfId="0" applyFont="true" applyBorder="false" applyAlignment="true" applyProtection="false">
      <alignment horizontal="right" vertical="top" textRotation="0" wrapText="true" indent="1" shrinkToFit="false"/>
      <protection locked="true" hidden="false"/>
    </xf>
    <xf numFmtId="165" fontId="102" fillId="0" borderId="0" xfId="0" applyFont="true" applyBorder="false" applyAlignment="true" applyProtection="false">
      <alignment horizontal="right" vertical="top" textRotation="0" wrapText="true" indent="1" shrinkToFit="false"/>
      <protection locked="true" hidden="false"/>
    </xf>
    <xf numFmtId="164" fontId="39" fillId="5" borderId="10" xfId="0" applyFont="true" applyBorder="true" applyAlignment="true" applyProtection="false">
      <alignment horizontal="left" vertical="top" textRotation="0" wrapText="true" indent="0" shrinkToFit="false"/>
      <protection locked="true" hidden="false"/>
    </xf>
    <xf numFmtId="165" fontId="26" fillId="0" borderId="0" xfId="0" applyFont="true" applyBorder="false" applyAlignment="true" applyProtection="false">
      <alignment horizontal="right" vertical="top" textRotation="0" wrapText="true" indent="1" shrinkToFit="false"/>
      <protection locked="true" hidden="false"/>
    </xf>
    <xf numFmtId="165" fontId="136" fillId="0" borderId="0" xfId="0" applyFont="true" applyBorder="false" applyAlignment="true" applyProtection="false">
      <alignment horizontal="right" vertical="top" textRotation="0" wrapText="true" indent="1" shrinkToFit="false"/>
      <protection locked="true" hidden="false"/>
    </xf>
    <xf numFmtId="166" fontId="24" fillId="31" borderId="0" xfId="0" applyFont="true" applyBorder="false" applyAlignment="true" applyProtection="false">
      <alignment horizontal="right" vertical="center" textRotation="0" wrapText="false" indent="1" shrinkToFit="false"/>
      <protection locked="true" hidden="false"/>
    </xf>
    <xf numFmtId="167" fontId="24" fillId="31" borderId="0" xfId="0" applyFont="true" applyBorder="false" applyAlignment="true" applyProtection="false">
      <alignment horizontal="right" vertical="center" textRotation="0" wrapText="false" indent="1" shrinkToFit="false"/>
      <protection locked="true" hidden="false"/>
    </xf>
    <xf numFmtId="165" fontId="203" fillId="12" borderId="0" xfId="0" applyFont="true" applyBorder="false" applyAlignment="true" applyProtection="false">
      <alignment horizontal="right" vertical="center" textRotation="0" wrapText="false" indent="1" shrinkToFit="false"/>
      <protection locked="true" hidden="false"/>
    </xf>
    <xf numFmtId="188" fontId="203" fillId="12" borderId="0" xfId="0" applyFont="true" applyBorder="false" applyAlignment="true" applyProtection="false">
      <alignment horizontal="right" vertical="center" textRotation="0" wrapText="false" indent="1" shrinkToFit="false"/>
      <protection locked="true" hidden="false"/>
    </xf>
    <xf numFmtId="182" fontId="203" fillId="12" borderId="0" xfId="0" applyFont="true" applyBorder="false" applyAlignment="true" applyProtection="false">
      <alignment horizontal="right" vertical="center" textRotation="0" wrapText="false" indent="1" shrinkToFit="false"/>
      <protection locked="true" hidden="false"/>
    </xf>
    <xf numFmtId="174" fontId="203" fillId="12" borderId="0" xfId="0" applyFont="true" applyBorder="false" applyAlignment="true" applyProtection="false">
      <alignment horizontal="right" vertical="center" textRotation="0" wrapText="false" indent="1" shrinkToFit="false"/>
      <protection locked="true" hidden="false"/>
    </xf>
    <xf numFmtId="164" fontId="113" fillId="5" borderId="0" xfId="0" applyFont="true" applyBorder="true" applyAlignment="true" applyProtection="false">
      <alignment horizontal="left" vertical="top" textRotation="0" wrapText="true" indent="0" shrinkToFit="false"/>
      <protection locked="true" hidden="false"/>
    </xf>
    <xf numFmtId="166" fontId="108" fillId="0" borderId="0" xfId="0" applyFont="true" applyBorder="false" applyAlignment="true" applyProtection="false">
      <alignment horizontal="right" vertical="top" textRotation="0" wrapText="true" indent="1" shrinkToFit="false"/>
      <protection locked="true" hidden="false"/>
    </xf>
    <xf numFmtId="174" fontId="134" fillId="0" borderId="0" xfId="0" applyFont="true" applyBorder="false" applyAlignment="true" applyProtection="false">
      <alignment horizontal="center" vertical="center" textRotation="0" wrapText="false" indent="0" shrinkToFit="false"/>
      <protection locked="true" hidden="false"/>
    </xf>
    <xf numFmtId="177" fontId="108" fillId="0" borderId="0" xfId="0" applyFont="true" applyBorder="false" applyAlignment="true" applyProtection="false">
      <alignment horizontal="center" vertical="center" textRotation="0" wrapText="false" indent="0" shrinkToFit="false"/>
      <protection locked="true" hidden="false"/>
    </xf>
    <xf numFmtId="164" fontId="27" fillId="5" borderId="2" xfId="0" applyFont="true" applyBorder="true" applyAlignment="true" applyProtection="false">
      <alignment horizontal="left" vertical="top" textRotation="0" wrapText="true" indent="0" shrinkToFit="false"/>
      <protection locked="true" hidden="false"/>
    </xf>
    <xf numFmtId="174" fontId="27" fillId="12" borderId="0" xfId="0" applyFont="true" applyBorder="false" applyAlignment="true" applyProtection="false">
      <alignment horizontal="right" vertical="center" textRotation="0" wrapText="false" indent="1" shrinkToFit="false"/>
      <protection locked="true" hidden="false"/>
    </xf>
    <xf numFmtId="167" fontId="102" fillId="5" borderId="0" xfId="0" applyFont="true" applyBorder="false" applyAlignment="true" applyProtection="false">
      <alignment horizontal="right" vertical="center" textRotation="0" wrapText="false" indent="1" shrinkToFit="false"/>
      <protection locked="true" hidden="false"/>
    </xf>
    <xf numFmtId="167" fontId="191" fillId="5" borderId="0" xfId="0" applyFont="true" applyBorder="false" applyAlignment="true" applyProtection="false">
      <alignment horizontal="right" vertical="center" textRotation="0" wrapText="false" indent="1" shrinkToFit="false"/>
      <protection locked="true" hidden="false"/>
    </xf>
    <xf numFmtId="165" fontId="199" fillId="12" borderId="0" xfId="0" applyFont="true" applyBorder="false" applyAlignment="true" applyProtection="false">
      <alignment horizontal="right" vertical="center" textRotation="0" wrapText="false" indent="1" shrinkToFit="false"/>
      <protection locked="true" hidden="false"/>
    </xf>
    <xf numFmtId="164" fontId="113" fillId="21" borderId="0" xfId="0" applyFont="true" applyBorder="true" applyAlignment="true" applyProtection="false">
      <alignment horizontal="left" vertical="center" textRotation="0" wrapText="true" indent="1" shrinkToFit="false"/>
      <protection locked="true" hidden="false"/>
    </xf>
    <xf numFmtId="165" fontId="136" fillId="12" borderId="0" xfId="0" applyFont="true" applyBorder="false" applyAlignment="true" applyProtection="false">
      <alignment horizontal="right" vertical="top" textRotation="0" wrapText="true" indent="1" shrinkToFit="false"/>
      <protection locked="true" hidden="false"/>
    </xf>
    <xf numFmtId="164" fontId="26" fillId="5" borderId="19" xfId="0" applyFont="true" applyBorder="true" applyAlignment="true" applyProtection="false">
      <alignment horizontal="center" vertical="top" textRotation="0" wrapText="true" indent="0" shrinkToFit="false"/>
      <protection locked="true" hidden="false"/>
    </xf>
    <xf numFmtId="164" fontId="104" fillId="50" borderId="19" xfId="0" applyFont="true" applyBorder="true" applyAlignment="true" applyProtection="false">
      <alignment horizontal="center" vertical="center" textRotation="0" wrapText="true" indent="0" shrinkToFit="false"/>
      <protection locked="true" hidden="false"/>
    </xf>
    <xf numFmtId="164" fontId="16" fillId="41" borderId="19" xfId="0" applyFont="true" applyBorder="true" applyAlignment="true" applyProtection="false">
      <alignment horizontal="center" vertical="center" textRotation="0" wrapText="true" indent="0" shrinkToFit="false"/>
      <protection locked="true" hidden="false"/>
    </xf>
    <xf numFmtId="164" fontId="16" fillId="40" borderId="19" xfId="0" applyFont="true" applyBorder="true" applyAlignment="true" applyProtection="false">
      <alignment horizontal="center" vertical="center" textRotation="0" wrapText="true" indent="0" shrinkToFit="false"/>
      <protection locked="true" hidden="false"/>
    </xf>
    <xf numFmtId="164" fontId="38" fillId="30" borderId="19" xfId="0" applyFont="true" applyBorder="true" applyAlignment="true" applyProtection="false">
      <alignment horizontal="center" vertical="center" textRotation="0" wrapText="false" indent="0" shrinkToFit="false"/>
      <protection locked="true" hidden="false"/>
    </xf>
    <xf numFmtId="164" fontId="16" fillId="51" borderId="19" xfId="0" applyFont="true" applyBorder="true" applyAlignment="true" applyProtection="false">
      <alignment horizontal="center" vertical="center" textRotation="0" wrapText="true" indent="0" shrinkToFit="false"/>
      <protection locked="true" hidden="false"/>
    </xf>
    <xf numFmtId="201" fontId="27" fillId="12" borderId="0" xfId="0" applyFont="true" applyBorder="false" applyAlignment="true" applyProtection="false">
      <alignment horizontal="center" vertical="center" textRotation="0" wrapText="false" indent="0" shrinkToFit="false"/>
      <protection locked="true" hidden="false"/>
    </xf>
    <xf numFmtId="215" fontId="27" fillId="0" borderId="0" xfId="0" applyFont="true" applyBorder="false" applyAlignment="true" applyProtection="false">
      <alignment horizontal="center" vertical="center" textRotation="0" wrapText="false" indent="0" shrinkToFit="false"/>
      <protection locked="true" hidden="false"/>
    </xf>
    <xf numFmtId="167" fontId="27" fillId="12" borderId="0" xfId="0" applyFont="true" applyBorder="false" applyAlignment="true" applyProtection="false">
      <alignment horizontal="center" vertical="center" textRotation="0" wrapText="false" indent="0" shrinkToFit="false"/>
      <protection locked="true" hidden="false"/>
    </xf>
    <xf numFmtId="216" fontId="27" fillId="0" borderId="0" xfId="0" applyFont="true" applyBorder="false" applyAlignment="true" applyProtection="false">
      <alignment horizontal="center" vertical="center" textRotation="0" wrapText="false" indent="0" shrinkToFit="false"/>
      <protection locked="true" hidden="false"/>
    </xf>
    <xf numFmtId="166" fontId="26" fillId="12" borderId="0" xfId="0" applyFont="true" applyBorder="false" applyAlignment="true" applyProtection="false">
      <alignment horizontal="center" vertical="center" textRotation="0" wrapText="false" indent="0" shrinkToFit="false"/>
      <protection locked="true" hidden="false"/>
    </xf>
    <xf numFmtId="217" fontId="27" fillId="0" borderId="0" xfId="0" applyFont="true" applyBorder="false" applyAlignment="true" applyProtection="false">
      <alignment horizontal="center" vertical="center" textRotation="0" wrapText="false" indent="0" shrinkToFit="false"/>
      <protection locked="true" hidden="false"/>
    </xf>
    <xf numFmtId="164" fontId="149" fillId="0" borderId="0" xfId="0" applyFont="true" applyBorder="false" applyAlignment="true" applyProtection="false">
      <alignment horizontal="center" vertical="center" textRotation="0" wrapText="false" indent="0" shrinkToFit="false"/>
      <protection locked="true" hidden="false"/>
    </xf>
    <xf numFmtId="167" fontId="25" fillId="4" borderId="0" xfId="0" applyFont="true" applyBorder="false" applyAlignment="true" applyProtection="false">
      <alignment horizontal="center" vertical="center" textRotation="0" wrapText="false" indent="0" shrinkToFit="false"/>
      <protection locked="true" hidden="false"/>
    </xf>
    <xf numFmtId="217" fontId="25" fillId="4" borderId="0" xfId="0" applyFont="true" applyBorder="false" applyAlignment="true" applyProtection="false">
      <alignment horizontal="center" vertical="center" textRotation="0" wrapText="false" indent="0" shrinkToFit="false"/>
      <protection locked="true" hidden="false"/>
    </xf>
    <xf numFmtId="217" fontId="107" fillId="0" borderId="0" xfId="0" applyFont="true" applyBorder="false" applyAlignment="true" applyProtection="false">
      <alignment horizontal="center" vertical="center" textRotation="0" wrapText="false" indent="0" shrinkToFit="false"/>
      <protection locked="true" hidden="false"/>
    </xf>
    <xf numFmtId="164" fontId="107" fillId="0" borderId="0" xfId="0" applyFont="true" applyBorder="false" applyAlignment="true" applyProtection="false">
      <alignment horizontal="center" vertical="center" textRotation="0" wrapText="false" indent="0" shrinkToFit="false"/>
      <protection locked="true" hidden="false"/>
    </xf>
    <xf numFmtId="164" fontId="108"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true" applyAlignment="true" applyProtection="false">
      <alignment horizontal="left" vertical="top" textRotation="0" wrapText="true" indent="1" shrinkToFit="false"/>
      <protection locked="true" hidden="false"/>
    </xf>
    <xf numFmtId="181" fontId="166" fillId="31" borderId="13" xfId="0" applyFont="true" applyBorder="true" applyAlignment="true" applyProtection="false">
      <alignment horizontal="center" vertical="center" textRotation="0" wrapText="false" indent="0" shrinkToFit="false"/>
      <protection locked="true" hidden="false"/>
    </xf>
    <xf numFmtId="181" fontId="140" fillId="31" borderId="13" xfId="0" applyFont="true" applyBorder="true" applyAlignment="true" applyProtection="false">
      <alignment horizontal="center" vertical="center" textRotation="0" wrapText="false" indent="0" shrinkToFit="false"/>
      <protection locked="true" hidden="false"/>
    </xf>
    <xf numFmtId="181" fontId="166" fillId="31" borderId="13" xfId="0" applyFont="true" applyBorder="true" applyAlignment="true" applyProtection="false">
      <alignment horizontal="center" vertical="top" textRotation="0" wrapText="true" indent="0" shrinkToFit="false"/>
      <protection locked="true" hidden="false"/>
    </xf>
    <xf numFmtId="181" fontId="199" fillId="12" borderId="16" xfId="0" applyFont="true" applyBorder="true" applyAlignment="true" applyProtection="false">
      <alignment horizontal="center" vertical="center" textRotation="0" wrapText="false" indent="0" shrinkToFit="false"/>
      <protection locked="true" hidden="false"/>
    </xf>
    <xf numFmtId="167" fontId="202" fillId="12" borderId="0" xfId="0" applyFont="true" applyBorder="false" applyAlignment="true" applyProtection="false">
      <alignment horizontal="right" vertical="center" textRotation="0" wrapText="false" indent="1" shrinkToFit="false"/>
      <protection locked="true" hidden="false"/>
    </xf>
    <xf numFmtId="164" fontId="113" fillId="5" borderId="0" xfId="0" applyFont="true" applyBorder="false" applyAlignment="true" applyProtection="false">
      <alignment horizontal="left" vertical="center" textRotation="0" wrapText="false" indent="1" shrinkToFit="false"/>
      <protection locked="true" hidden="false"/>
    </xf>
    <xf numFmtId="181" fontId="202" fillId="12" borderId="0" xfId="0" applyFont="true" applyBorder="false" applyAlignment="true" applyProtection="false">
      <alignment horizontal="right" vertical="center" textRotation="0" wrapText="false" indent="1" shrinkToFit="false"/>
      <protection locked="true" hidden="false"/>
    </xf>
    <xf numFmtId="218" fontId="27" fillId="12" borderId="0" xfId="0" applyFont="true" applyBorder="false" applyAlignment="true" applyProtection="false">
      <alignment horizontal="right" vertical="center" textRotation="0" wrapText="false" indent="1" shrinkToFit="false"/>
      <protection locked="true" hidden="false"/>
    </xf>
    <xf numFmtId="181" fontId="24" fillId="5" borderId="0" xfId="0" applyFont="true" applyBorder="false" applyAlignment="true" applyProtection="false">
      <alignment horizontal="right" vertical="center" textRotation="0" wrapText="false" indent="1" shrinkToFit="false"/>
      <protection locked="true" hidden="false"/>
    </xf>
    <xf numFmtId="164" fontId="200" fillId="0" borderId="0" xfId="0" applyFont="true" applyBorder="false" applyAlignment="true" applyProtection="false">
      <alignment horizontal="left" vertical="top" textRotation="0" wrapText="true" indent="0" shrinkToFit="false"/>
      <protection locked="true" hidden="false"/>
    </xf>
    <xf numFmtId="167" fontId="27" fillId="5" borderId="0" xfId="0" applyFont="true" applyBorder="false" applyAlignment="true" applyProtection="false">
      <alignment horizontal="center" vertical="center" textRotation="0" wrapText="false" indent="0" shrinkToFit="false"/>
      <protection locked="true" hidden="false"/>
    </xf>
    <xf numFmtId="164" fontId="27" fillId="5" borderId="0" xfId="0" applyFont="true" applyBorder="false" applyAlignment="true" applyProtection="false">
      <alignment horizontal="center" vertical="center" textRotation="0" wrapText="false" indent="0" shrinkToFit="false"/>
      <protection locked="true" hidden="false"/>
    </xf>
    <xf numFmtId="165" fontId="42" fillId="12" borderId="17" xfId="0" applyFont="true" applyBorder="true" applyAlignment="true" applyProtection="false">
      <alignment horizontal="right" vertical="center" textRotation="0" wrapText="false" indent="1" shrinkToFit="false"/>
      <protection locked="true" hidden="false"/>
    </xf>
    <xf numFmtId="164" fontId="145" fillId="0" borderId="0" xfId="0" applyFont="true" applyBorder="false" applyAlignment="true" applyProtection="false">
      <alignment horizontal="center" vertical="center" textRotation="0" wrapText="false" indent="0" shrinkToFit="false"/>
      <protection locked="true" hidden="false"/>
    </xf>
    <xf numFmtId="181" fontId="36" fillId="12" borderId="0" xfId="0" applyFont="true" applyBorder="false" applyAlignment="true" applyProtection="false">
      <alignment horizontal="right" vertical="center" textRotation="0" wrapText="false" indent="1" shrinkToFit="false"/>
      <protection locked="true" hidden="false"/>
    </xf>
    <xf numFmtId="181" fontId="203" fillId="12" borderId="0" xfId="0" applyFont="true" applyBorder="false" applyAlignment="true" applyProtection="false">
      <alignment horizontal="right" vertical="center" textRotation="0" wrapText="false" indent="1" shrinkToFit="false"/>
      <protection locked="true" hidden="false"/>
    </xf>
    <xf numFmtId="181" fontId="12" fillId="5" borderId="0" xfId="0" applyFont="true" applyBorder="false" applyAlignment="true" applyProtection="false">
      <alignment horizontal="right" vertical="center" textRotation="0" wrapText="false" indent="1" shrinkToFit="false"/>
      <protection locked="true" hidden="false"/>
    </xf>
    <xf numFmtId="167" fontId="12" fillId="5" borderId="0" xfId="0" applyFont="true" applyBorder="false" applyAlignment="true" applyProtection="false">
      <alignment horizontal="right" vertical="center" textRotation="0" wrapText="false" indent="1" shrinkToFit="false"/>
      <protection locked="true" hidden="false"/>
    </xf>
    <xf numFmtId="164" fontId="204" fillId="0" borderId="0" xfId="0" applyFont="true" applyBorder="false" applyAlignment="true" applyProtection="false">
      <alignment horizontal="center" vertical="center" textRotation="0" wrapText="false" indent="0" shrinkToFit="false"/>
      <protection locked="true" hidden="false"/>
    </xf>
    <xf numFmtId="167" fontId="140" fillId="21" borderId="20" xfId="0" applyFont="true" applyBorder="true" applyAlignment="true" applyProtection="false">
      <alignment horizontal="right" vertical="center" textRotation="0" wrapText="false" indent="1" shrinkToFit="false"/>
      <protection locked="true" hidden="false"/>
    </xf>
    <xf numFmtId="164" fontId="113" fillId="21" borderId="0" xfId="0" applyFont="true" applyBorder="true" applyAlignment="true" applyProtection="false">
      <alignment horizontal="left" vertical="top" textRotation="0" wrapText="true" indent="1" shrinkToFit="false"/>
      <protection locked="true" hidden="false"/>
    </xf>
    <xf numFmtId="164" fontId="39" fillId="5" borderId="10" xfId="0" applyFont="true" applyBorder="true" applyAlignment="true" applyProtection="false">
      <alignment horizontal="left" vertical="top" textRotation="0" wrapText="true" indent="1" shrinkToFit="false"/>
      <protection locked="true" hidden="false"/>
    </xf>
    <xf numFmtId="165" fontId="36" fillId="12" borderId="21" xfId="0" applyFont="true" applyBorder="true" applyAlignment="true" applyProtection="false">
      <alignment horizontal="right" vertical="center" textRotation="0" wrapText="false" indent="1" shrinkToFit="false"/>
      <protection locked="true" hidden="false"/>
    </xf>
    <xf numFmtId="167" fontId="200" fillId="21" borderId="0" xfId="0" applyFont="true" applyBorder="false" applyAlignment="true" applyProtection="false">
      <alignment horizontal="right" vertical="center" textRotation="0" wrapText="false" indent="1" shrinkToFit="false"/>
      <protection locked="true" hidden="false"/>
    </xf>
    <xf numFmtId="174" fontId="36" fillId="12" borderId="0" xfId="0" applyFont="true" applyBorder="false" applyAlignment="true" applyProtection="false">
      <alignment horizontal="right" vertical="center" textRotation="0" wrapText="false" indent="1" shrinkToFit="false"/>
      <protection locked="true" hidden="false"/>
    </xf>
    <xf numFmtId="182" fontId="36" fillId="12" borderId="0" xfId="0" applyFont="true" applyBorder="false" applyAlignment="true" applyProtection="false">
      <alignment horizontal="right" vertical="center" textRotation="0" wrapText="false" indent="1" shrinkToFit="false"/>
      <protection locked="true" hidden="false"/>
    </xf>
    <xf numFmtId="164" fontId="102" fillId="21" borderId="0" xfId="0" applyFont="true" applyBorder="false" applyAlignment="true" applyProtection="false">
      <alignment horizontal="center" vertical="center" textRotation="0" wrapText="false" indent="0" shrinkToFit="false"/>
      <protection locked="true" hidden="false"/>
    </xf>
    <xf numFmtId="164" fontId="107" fillId="0" borderId="0" xfId="0" applyFont="true" applyBorder="false" applyAlignment="true" applyProtection="false">
      <alignment horizontal="left" vertical="center" textRotation="0" wrapText="false" indent="1" shrinkToFit="false"/>
      <protection locked="true" hidden="false"/>
    </xf>
    <xf numFmtId="182" fontId="26" fillId="12" borderId="0" xfId="0" applyFont="true" applyBorder="false" applyAlignment="true" applyProtection="false">
      <alignment horizontal="right" vertical="center" textRotation="0" wrapText="false" indent="1" shrinkToFit="false"/>
      <protection locked="true" hidden="false"/>
    </xf>
    <xf numFmtId="164" fontId="0" fillId="5" borderId="0" xfId="0" applyFont="false" applyBorder="fals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72" fillId="5" borderId="0" xfId="0" applyFont="true" applyBorder="true" applyAlignment="true" applyProtection="false">
      <alignment horizontal="left" vertical="top" textRotation="0" wrapText="true" indent="0" shrinkToFit="false"/>
      <protection locked="true" hidden="false"/>
    </xf>
    <xf numFmtId="174" fontId="26" fillId="12" borderId="18" xfId="0" applyFont="true" applyBorder="true" applyAlignment="true" applyProtection="false">
      <alignment horizontal="right" vertical="center" textRotation="0" wrapText="false" indent="1" shrinkToFit="false"/>
      <protection locked="true" hidden="false"/>
    </xf>
    <xf numFmtId="164" fontId="39" fillId="0" borderId="18" xfId="0" applyFont="true" applyBorder="true" applyAlignment="true" applyProtection="false">
      <alignment horizontal="left" vertical="top" textRotation="0" wrapText="true" indent="1" shrinkToFit="false"/>
      <protection locked="true" hidden="false"/>
    </xf>
    <xf numFmtId="164" fontId="7" fillId="31" borderId="18" xfId="0" applyFont="true" applyBorder="true" applyAlignment="true" applyProtection="false">
      <alignment horizontal="center" vertical="center" textRotation="0" wrapText="false" indent="0" shrinkToFit="false"/>
      <protection locked="true" hidden="false"/>
    </xf>
    <xf numFmtId="181" fontId="26" fillId="12" borderId="18" xfId="0" applyFont="true" applyBorder="true" applyAlignment="true" applyProtection="false">
      <alignment horizontal="right" vertical="center" textRotation="0" wrapText="false" indent="1" shrinkToFit="false"/>
      <protection locked="true" hidden="false"/>
    </xf>
    <xf numFmtId="164" fontId="26" fillId="12" borderId="18" xfId="0" applyFont="true" applyBorder="true" applyAlignment="true" applyProtection="false">
      <alignment horizontal="right" vertical="center" textRotation="0" wrapText="false" indent="1" shrinkToFit="false"/>
      <protection locked="true" hidden="false"/>
    </xf>
    <xf numFmtId="164" fontId="123" fillId="31" borderId="18" xfId="0" applyFont="true" applyBorder="true" applyAlignment="true" applyProtection="false">
      <alignment horizontal="center" vertical="center" textRotation="0" wrapText="false" indent="0" shrinkToFit="false"/>
      <protection locked="true" hidden="false"/>
    </xf>
    <xf numFmtId="164" fontId="129" fillId="31" borderId="18" xfId="0" applyFont="true" applyBorder="true" applyAlignment="true" applyProtection="false">
      <alignment horizontal="center" vertical="center" textRotation="0" wrapText="false" indent="0" shrinkToFit="false"/>
      <protection locked="true" hidden="false"/>
    </xf>
    <xf numFmtId="176" fontId="26" fillId="12" borderId="18" xfId="0" applyFont="true" applyBorder="true" applyAlignment="true" applyProtection="false">
      <alignment horizontal="right" vertical="center" textRotation="0" wrapText="false" indent="1" shrinkToFit="false"/>
      <protection locked="true" hidden="false"/>
    </xf>
    <xf numFmtId="166" fontId="26" fillId="12" borderId="18" xfId="0" applyFont="true" applyBorder="true" applyAlignment="true" applyProtection="false">
      <alignment horizontal="right" vertical="center" textRotation="0" wrapText="false" indent="1" shrinkToFit="false"/>
      <protection locked="true" hidden="false"/>
    </xf>
    <xf numFmtId="164" fontId="200" fillId="5" borderId="3" xfId="0" applyFont="true" applyBorder="true" applyAlignment="true" applyProtection="false">
      <alignment horizontal="left" vertical="top" textRotation="0" wrapText="true" indent="0" shrinkToFit="false"/>
      <protection locked="true" hidden="false"/>
    </xf>
    <xf numFmtId="164" fontId="102" fillId="0" borderId="0" xfId="0" applyFont="true" applyBorder="false" applyAlignment="true" applyProtection="false">
      <alignment horizontal="left" vertical="top" textRotation="0" wrapText="true" indent="0" shrinkToFit="false"/>
      <protection locked="true" hidden="false"/>
    </xf>
    <xf numFmtId="164" fontId="203" fillId="0" borderId="0" xfId="0" applyFont="true" applyBorder="false" applyAlignment="true" applyProtection="false">
      <alignment horizontal="left" vertical="top" textRotation="0" wrapText="true" indent="0" shrinkToFit="false"/>
      <protection locked="true" hidden="false"/>
    </xf>
    <xf numFmtId="164" fontId="80" fillId="0" borderId="0" xfId="0" applyFont="true" applyBorder="false" applyAlignment="true" applyProtection="false">
      <alignment horizontal="general" vertical="top" textRotation="0" wrapText="true" indent="0" shrinkToFit="false"/>
      <protection locked="true" hidden="false"/>
    </xf>
    <xf numFmtId="164" fontId="0" fillId="19"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top" textRotation="0" wrapText="true" indent="2" shrinkToFit="false"/>
      <protection locked="true" hidden="false"/>
    </xf>
    <xf numFmtId="164" fontId="20" fillId="0" borderId="0" xfId="0" applyFont="true" applyBorder="false" applyAlignment="true" applyProtection="false">
      <alignment horizontal="left" vertical="top" textRotation="0" wrapText="true" indent="0" shrinkToFit="false"/>
      <protection locked="true" hidden="false"/>
    </xf>
    <xf numFmtId="168" fontId="36" fillId="12" borderId="18" xfId="0" applyFont="true" applyBorder="true" applyAlignment="true" applyProtection="false">
      <alignment horizontal="right" vertical="center" textRotation="0" wrapText="false" indent="1" shrinkToFit="false"/>
      <protection locked="true" hidden="false"/>
    </xf>
    <xf numFmtId="164" fontId="113" fillId="0" borderId="18" xfId="0" applyFont="true" applyBorder="true" applyAlignment="true" applyProtection="false">
      <alignment horizontal="center" vertical="center" textRotation="0" wrapText="false" indent="0" shrinkToFit="false"/>
      <protection locked="true" hidden="false"/>
    </xf>
    <xf numFmtId="164" fontId="107" fillId="0" borderId="18" xfId="0" applyFont="true" applyBorder="true" applyAlignment="true" applyProtection="false">
      <alignment horizontal="center" vertical="center" textRotation="0" wrapText="false" indent="0" shrinkToFit="false"/>
      <protection locked="true" hidden="false"/>
    </xf>
    <xf numFmtId="166" fontId="36" fillId="12" borderId="18" xfId="0" applyFont="true" applyBorder="true" applyAlignment="true" applyProtection="false">
      <alignment horizontal="right" vertical="center" textRotation="0" wrapText="false" indent="1" shrinkToFit="false"/>
      <protection locked="true" hidden="false"/>
    </xf>
    <xf numFmtId="165" fontId="36" fillId="12" borderId="18" xfId="0" applyFont="true" applyBorder="true" applyAlignment="true" applyProtection="false">
      <alignment horizontal="right" vertical="center" textRotation="0" wrapText="false" indent="1" shrinkToFit="false"/>
      <protection locked="true" hidden="false"/>
    </xf>
    <xf numFmtId="176" fontId="36" fillId="12" borderId="18" xfId="0" applyFont="true" applyBorder="true" applyAlignment="true" applyProtection="false">
      <alignment horizontal="right" vertical="center" textRotation="0" wrapText="false" indent="1" shrinkToFit="false"/>
      <protection locked="true" hidden="false"/>
    </xf>
    <xf numFmtId="164" fontId="36" fillId="12" borderId="0" xfId="0" applyFont="true" applyBorder="false" applyAlignment="true" applyProtection="false">
      <alignment horizontal="right" vertical="center" textRotation="0" wrapText="false" indent="1" shrinkToFit="false"/>
      <protection locked="true" hidden="false"/>
    </xf>
    <xf numFmtId="165" fontId="101" fillId="12" borderId="0" xfId="0" applyFont="true" applyBorder="false" applyAlignment="true" applyProtection="false">
      <alignment horizontal="right" vertical="center" textRotation="0" wrapText="false" indent="1" shrinkToFit="false"/>
      <protection locked="true" hidden="false"/>
    </xf>
    <xf numFmtId="165" fontId="205" fillId="5" borderId="0" xfId="0" applyFont="true" applyBorder="false" applyAlignment="true" applyProtection="false">
      <alignment horizontal="right" vertical="center" textRotation="0" wrapText="false" indent="1" shrinkToFit="false"/>
      <protection locked="true" hidden="false"/>
    </xf>
    <xf numFmtId="165" fontId="26" fillId="12" borderId="18" xfId="0" applyFont="true" applyBorder="true" applyAlignment="true" applyProtection="false">
      <alignment horizontal="right" vertical="center" textRotation="0" wrapText="false" indent="1" shrinkToFit="false"/>
      <protection locked="true" hidden="false"/>
    </xf>
    <xf numFmtId="164" fontId="107" fillId="0" borderId="18" xfId="0" applyFont="true" applyBorder="true" applyAlignment="true" applyProtection="false">
      <alignment horizontal="center" vertical="top" textRotation="0" wrapText="true" indent="0" shrinkToFit="false"/>
      <protection locked="true" hidden="false"/>
    </xf>
    <xf numFmtId="165" fontId="26" fillId="12" borderId="0" xfId="0" applyFont="true" applyBorder="false" applyAlignment="true" applyProtection="false">
      <alignment horizontal="right" vertical="top" textRotation="0" wrapText="true" indent="1" shrinkToFit="false"/>
      <protection locked="true" hidden="false"/>
    </xf>
    <xf numFmtId="164" fontId="27" fillId="21" borderId="0" xfId="0" applyFont="true" applyBorder="false" applyAlignment="true" applyProtection="false">
      <alignment horizontal="left" vertical="top" textRotation="0" wrapText="true" indent="0" shrinkToFit="false"/>
      <protection locked="true" hidden="false"/>
    </xf>
    <xf numFmtId="165" fontId="100" fillId="21" borderId="0" xfId="0" applyFont="true" applyBorder="false" applyAlignment="true" applyProtection="false">
      <alignment horizontal="right" vertical="top" textRotation="0" wrapText="true" indent="1" shrinkToFit="false"/>
      <protection locked="true" hidden="false"/>
    </xf>
    <xf numFmtId="196" fontId="136" fillId="0" borderId="0" xfId="0" applyFont="true" applyBorder="false" applyAlignment="true" applyProtection="false">
      <alignment horizontal="right" vertical="center" textRotation="0" wrapText="false" indent="1" shrinkToFit="false"/>
      <protection locked="true" hidden="false"/>
    </xf>
    <xf numFmtId="164" fontId="133" fillId="0" borderId="0" xfId="0" applyFont="true" applyBorder="false" applyAlignment="true" applyProtection="false">
      <alignment horizontal="center" vertical="center" textRotation="0" wrapText="false" indent="0" shrinkToFit="false"/>
      <protection locked="true" hidden="false"/>
    </xf>
    <xf numFmtId="164" fontId="206" fillId="5" borderId="2"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F5F2EA"/>
      <rgbColor rgb="FF0000FF"/>
      <rgbColor rgb="FFFDE4B0"/>
      <rgbColor rgb="FFFCE4E4"/>
      <rgbColor rgb="FFE6E8FA"/>
      <rgbColor rgb="FFCE2D2D"/>
      <rgbColor rgb="FF008000"/>
      <rgbColor rgb="FF0A0F1C"/>
      <rgbColor rgb="FF8B5E3C"/>
      <rgbColor rgb="FFC98738"/>
      <rgbColor rgb="FF1C7A6F"/>
      <rgbColor rgb="FFCCCCCC"/>
      <rgbColor rgb="FF6E6E70"/>
      <rgbColor rgb="FF3675B6"/>
      <rgbColor rgb="FFA04848"/>
      <rgbColor rgb="FFFFFACD"/>
      <rgbColor rgb="FFD6F6E5"/>
      <rgbColor rgb="FF666666"/>
      <rgbColor rgb="FFC9873A"/>
      <rgbColor rgb="FF006EC0"/>
      <rgbColor rgb="FFD5DAE0"/>
      <rgbColor rgb="FF050A14"/>
      <rgbColor rgb="FFF5F5F5"/>
      <rgbColor rgb="FFFFF3CE"/>
      <rgbColor rgb="FFE8F4D4"/>
      <rgbColor rgb="FFFAF8F5"/>
      <rgbColor rgb="FFBC6B0C"/>
      <rgbColor rgb="FF1C7A6A"/>
      <rgbColor rgb="FFFFFBEF"/>
      <rgbColor rgb="FFD9E5F6"/>
      <rgbColor rgb="FFD4EDDA"/>
      <rgbColor rgb="FFD4F4D4"/>
      <rgbColor rgb="FFFEF3C7"/>
      <rgbColor rgb="FFD9E1F2"/>
      <rgbColor rgb="FFF8D7DA"/>
      <rgbColor rgb="FFDDDDDD"/>
      <rgbColor rgb="FFFFE699"/>
      <rgbColor rgb="FF2E78D4"/>
      <rgbColor rgb="FF0CA84A"/>
      <rgbColor rgb="FF48A048"/>
      <rgbColor rgb="FFEABC5F"/>
      <rgbColor rgb="FFD4A94A"/>
      <rgbColor rgb="FFF37624"/>
      <rgbColor rgb="FF5C6A8A"/>
      <rgbColor rgb="FFC98739"/>
      <rgbColor rgb="FF1F4E78"/>
      <rgbColor rgb="FF3D9E3D"/>
      <rgbColor rgb="FF0D1530"/>
      <rgbColor rgb="FF4F4F4F"/>
      <rgbColor rgb="FFC1272D"/>
      <rgbColor rgb="FF8E4FB4"/>
      <rgbColor rgb="FF253C63"/>
      <rgbColor rgb="FF28365D"/>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worksheet" Target="worksheets/sheet50.xml"/><Relationship Id="rId53" Type="http://schemas.openxmlformats.org/officeDocument/2006/relationships/worksheet" Target="worksheets/sheet51.xml"/><Relationship Id="rId54" Type="http://schemas.openxmlformats.org/officeDocument/2006/relationships/worksheet" Target="worksheets/sheet52.xml"/><Relationship Id="rId55" Type="http://schemas.openxmlformats.org/officeDocument/2006/relationships/worksheet" Target="worksheets/sheet53.xml"/><Relationship Id="rId56" Type="http://schemas.openxmlformats.org/officeDocument/2006/relationships/worksheet" Target="worksheets/sheet54.xml"/><Relationship Id="rId57" Type="http://schemas.openxmlformats.org/officeDocument/2006/relationships/worksheet" Target="worksheets/sheet55.xml"/><Relationship Id="rId58" Type="http://schemas.openxmlformats.org/officeDocument/2006/relationships/worksheet" Target="worksheets/sheet56.xml"/><Relationship Id="rId59" Type="http://schemas.openxmlformats.org/officeDocument/2006/relationships/worksheet" Target="worksheets/sheet57.xml"/><Relationship Id="rId60" Type="http://schemas.openxmlformats.org/officeDocument/2006/relationships/worksheet" Target="worksheets/sheet58.xml"/><Relationship Id="rId61" Type="http://schemas.openxmlformats.org/officeDocument/2006/relationships/worksheet" Target="worksheets/sheet59.xml"/><Relationship Id="rId62" Type="http://schemas.openxmlformats.org/officeDocument/2006/relationships/worksheet" Target="worksheets/sheet60.xml"/><Relationship Id="rId63" Type="http://schemas.openxmlformats.org/officeDocument/2006/relationships/worksheet" Target="worksheets/sheet61.xml"/><Relationship Id="rId64" Type="http://schemas.openxmlformats.org/officeDocument/2006/relationships/worksheet" Target="worksheets/sheet62.xml"/><Relationship Id="rId65" Type="http://schemas.openxmlformats.org/officeDocument/2006/relationships/worksheet" Target="worksheets/sheet63.xml"/><Relationship Id="rId66" Type="http://schemas.openxmlformats.org/officeDocument/2006/relationships/worksheet" Target="worksheets/sheet64.xml"/><Relationship Id="rId67" Type="http://schemas.openxmlformats.org/officeDocument/2006/relationships/worksheet" Target="worksheets/sheet65.xml"/><Relationship Id="rId68" Type="http://schemas.openxmlformats.org/officeDocument/2006/relationships/worksheet" Target="worksheets/sheet66.xml"/><Relationship Id="rId69" Type="http://schemas.openxmlformats.org/officeDocument/2006/relationships/worksheet" Target="worksheets/sheet67.xml"/><Relationship Id="rId70" Type="http://schemas.openxmlformats.org/officeDocument/2006/relationships/worksheet" Target="worksheets/sheet68.xml"/><Relationship Id="rId71" Type="http://schemas.openxmlformats.org/officeDocument/2006/relationships/worksheet" Target="worksheets/sheet69.xml"/><Relationship Id="rId72" Type="http://schemas.openxmlformats.org/officeDocument/2006/relationships/worksheet" Target="worksheets/sheet70.xml"/><Relationship Id="rId73" Type="http://schemas.openxmlformats.org/officeDocument/2006/relationships/worksheet" Target="worksheets/sheet71.xml"/><Relationship Id="rId74" Type="http://schemas.openxmlformats.org/officeDocument/2006/relationships/worksheet" Target="worksheets/sheet72.xml"/><Relationship Id="rId75" Type="http://schemas.openxmlformats.org/officeDocument/2006/relationships/worksheet" Target="worksheets/sheet73.xml"/><Relationship Id="rId76" Type="http://schemas.openxmlformats.org/officeDocument/2006/relationships/worksheet" Target="worksheets/sheet74.xml"/><Relationship Id="rId77" Type="http://schemas.openxmlformats.org/officeDocument/2006/relationships/worksheet" Target="worksheets/sheet75.xml"/><Relationship Id="rId78" Type="http://schemas.openxmlformats.org/officeDocument/2006/relationships/worksheet" Target="worksheets/sheet76.xml"/><Relationship Id="rId79" Type="http://schemas.openxmlformats.org/officeDocument/2006/relationships/worksheet" Target="worksheets/sheet77.xml"/><Relationship Id="rId80" Type="http://schemas.openxmlformats.org/officeDocument/2006/relationships/worksheet" Target="worksheets/sheet78.xml"/><Relationship Id="rId81" Type="http://schemas.openxmlformats.org/officeDocument/2006/relationships/worksheet" Target="worksheets/sheet79.xml"/><Relationship Id="rId82" Type="http://schemas.openxmlformats.org/officeDocument/2006/relationships/worksheet" Target="worksheets/sheet80.xml"/><Relationship Id="rId83" Type="http://schemas.openxmlformats.org/officeDocument/2006/relationships/worksheet" Target="worksheets/sheet81.xml"/><Relationship Id="rId84" Type="http://schemas.openxmlformats.org/officeDocument/2006/relationships/worksheet" Target="worksheets/sheet82.xml"/><Relationship Id="rId85" Type="http://schemas.openxmlformats.org/officeDocument/2006/relationships/worksheet" Target="worksheets/sheet83.xml"/><Relationship Id="rId86" Type="http://schemas.openxmlformats.org/officeDocument/2006/relationships/worksheet" Target="worksheets/sheet84.xml"/><Relationship Id="rId87" Type="http://schemas.openxmlformats.org/officeDocument/2006/relationships/worksheet" Target="worksheets/sheet85.xml"/><Relationship Id="rId88" Type="http://schemas.openxmlformats.org/officeDocument/2006/relationships/worksheet" Target="worksheets/sheet86.xml"/><Relationship Id="rId89" Type="http://schemas.openxmlformats.org/officeDocument/2006/relationships/worksheet" Target="worksheets/sheet87.xml"/><Relationship Id="rId90" Type="http://schemas.openxmlformats.org/officeDocument/2006/relationships/worksheet" Target="worksheets/sheet88.xml"/><Relationship Id="rId91" Type="http://schemas.openxmlformats.org/officeDocument/2006/relationships/worksheet" Target="worksheets/sheet89.xml"/><Relationship Id="rId92" Type="http://schemas.openxmlformats.org/officeDocument/2006/relationships/worksheet" Target="worksheets/sheet90.xml"/><Relationship Id="rId93" Type="http://schemas.openxmlformats.org/officeDocument/2006/relationships/worksheet" Target="worksheets/sheet91.xml"/><Relationship Id="rId94" Type="http://schemas.openxmlformats.org/officeDocument/2006/relationships/worksheet" Target="worksheets/sheet92.xml"/><Relationship Id="rId95" Type="http://schemas.openxmlformats.org/officeDocument/2006/relationships/worksheet" Target="worksheets/sheet93.xml"/><Relationship Id="rId96" Type="http://schemas.openxmlformats.org/officeDocument/2006/relationships/worksheet" Target="worksheets/sheet94.xml"/><Relationship Id="rId97" Type="http://schemas.openxmlformats.org/officeDocument/2006/relationships/worksheet" Target="worksheets/sheet95.xml"/><Relationship Id="rId98" Type="http://schemas.openxmlformats.org/officeDocument/2006/relationships/worksheet" Target="worksheets/sheet96.xml"/><Relationship Id="rId99" Type="http://schemas.openxmlformats.org/officeDocument/2006/relationships/worksheet" Target="worksheets/sheet97.xml"/><Relationship Id="rId100" Type="http://schemas.openxmlformats.org/officeDocument/2006/relationships/worksheet" Target="worksheets/sheet98.xml"/><Relationship Id="rId101" Type="http://schemas.openxmlformats.org/officeDocument/2006/relationships/worksheet" Target="worksheets/sheet99.xml"/><Relationship Id="rId102" Type="http://schemas.openxmlformats.org/officeDocument/2006/relationships/worksheet" Target="worksheets/sheet100.xml"/><Relationship Id="rId103" Type="http://schemas.openxmlformats.org/officeDocument/2006/relationships/worksheet" Target="worksheets/sheet101.xml"/><Relationship Id="rId104" Type="http://schemas.openxmlformats.org/officeDocument/2006/relationships/worksheet" Target="worksheets/sheet102.xml"/><Relationship Id="rId105" Type="http://schemas.openxmlformats.org/officeDocument/2006/relationships/worksheet" Target="worksheets/sheet103.xml"/><Relationship Id="rId106" Type="http://schemas.openxmlformats.org/officeDocument/2006/relationships/worksheet" Target="worksheets/sheet104.xml"/><Relationship Id="rId107" Type="http://schemas.openxmlformats.org/officeDocument/2006/relationships/worksheet" Target="worksheets/sheet105.xml"/><Relationship Id="rId108" Type="http://schemas.openxmlformats.org/officeDocument/2006/relationships/worksheet" Target="worksheets/sheet106.xml"/><Relationship Id="rId109" Type="http://schemas.openxmlformats.org/officeDocument/2006/relationships/worksheet" Target="worksheets/sheet107.xml"/><Relationship Id="rId110" Type="http://schemas.openxmlformats.org/officeDocument/2006/relationships/worksheet" Target="worksheets/sheet108.xml"/><Relationship Id="rId111" Type="http://schemas.openxmlformats.org/officeDocument/2006/relationships/worksheet" Target="worksheets/sheet109.xml"/><Relationship Id="rId112" Type="http://schemas.openxmlformats.org/officeDocument/2006/relationships/worksheet" Target="worksheets/sheet110.xml"/><Relationship Id="rId113" Type="http://schemas.openxmlformats.org/officeDocument/2006/relationships/worksheet" Target="worksheets/sheet111.xml"/><Relationship Id="rId114" Type="http://schemas.openxmlformats.org/officeDocument/2006/relationships/worksheet" Target="worksheets/sheet112.xml"/><Relationship Id="rId115" Type="http://schemas.openxmlformats.org/officeDocument/2006/relationships/worksheet" Target="worksheets/sheet113.xml"/><Relationship Id="rId116" Type="http://schemas.openxmlformats.org/officeDocument/2006/relationships/worksheet" Target="worksheets/sheet114.xml"/><Relationship Id="rId117" Type="http://schemas.openxmlformats.org/officeDocument/2006/relationships/worksheet" Target="worksheets/sheet115.xml"/><Relationship Id="rId118" Type="http://schemas.openxmlformats.org/officeDocument/2006/relationships/worksheet" Target="worksheets/sheet116.xml"/><Relationship Id="rId119" Type="http://schemas.openxmlformats.org/officeDocument/2006/relationships/worksheet" Target="worksheets/sheet117.xml"/><Relationship Id="rId120" Type="http://schemas.openxmlformats.org/officeDocument/2006/relationships/worksheet" Target="worksheets/sheet118.xml"/><Relationship Id="rId121" Type="http://schemas.openxmlformats.org/officeDocument/2006/relationships/worksheet" Target="worksheets/sheet119.xml"/><Relationship Id="rId122" Type="http://schemas.openxmlformats.org/officeDocument/2006/relationships/worksheet" Target="worksheets/sheet120.xml"/><Relationship Id="rId123" Type="http://schemas.openxmlformats.org/officeDocument/2006/relationships/worksheet" Target="worksheets/sheet121.xml"/><Relationship Id="rId124" Type="http://schemas.openxmlformats.org/officeDocument/2006/relationships/worksheet" Target="worksheets/sheet122.xml"/><Relationship Id="rId125" Type="http://schemas.openxmlformats.org/officeDocument/2006/relationships/worksheet" Target="worksheets/sheet123.xml"/><Relationship Id="rId126" Type="http://schemas.openxmlformats.org/officeDocument/2006/relationships/worksheet" Target="worksheets/sheet124.xml"/><Relationship Id="rId127" Type="http://schemas.openxmlformats.org/officeDocument/2006/relationships/worksheet" Target="worksheets/sheet125.xml"/><Relationship Id="rId128" Type="http://schemas.openxmlformats.org/officeDocument/2006/relationships/worksheet" Target="worksheets/sheet126.xml"/><Relationship Id="rId129" Type="http://schemas.openxmlformats.org/officeDocument/2006/relationships/worksheet" Target="worksheets/sheet127.xml"/><Relationship Id="rId130" Type="http://schemas.openxmlformats.org/officeDocument/2006/relationships/worksheet" Target="worksheets/sheet128.xml"/><Relationship Id="rId131" Type="http://schemas.openxmlformats.org/officeDocument/2006/relationships/worksheet" Target="worksheets/sheet129.xml"/><Relationship Id="rId132" Type="http://schemas.openxmlformats.org/officeDocument/2006/relationships/worksheet" Target="worksheets/sheet130.xml"/><Relationship Id="rId133" Type="http://schemas.openxmlformats.org/officeDocument/2006/relationships/worksheet" Target="worksheets/sheet131.xml"/><Relationship Id="rId134" Type="http://schemas.openxmlformats.org/officeDocument/2006/relationships/worksheet" Target="worksheets/sheet132.xml"/><Relationship Id="rId135" Type="http://schemas.openxmlformats.org/officeDocument/2006/relationships/worksheet" Target="worksheets/sheet133.xml"/><Relationship Id="rId136" Type="http://schemas.openxmlformats.org/officeDocument/2006/relationships/worksheet" Target="worksheets/sheet134.xml"/><Relationship Id="rId137" Type="http://schemas.openxmlformats.org/officeDocument/2006/relationships/worksheet" Target="worksheets/sheet135.xml"/><Relationship Id="rId138" Type="http://schemas.openxmlformats.org/officeDocument/2006/relationships/worksheet" Target="worksheets/sheet136.xml"/><Relationship Id="rId139" Type="http://schemas.openxmlformats.org/officeDocument/2006/relationships/worksheet" Target="worksheets/sheet137.xml"/><Relationship Id="rId140" Type="http://schemas.openxmlformats.org/officeDocument/2006/relationships/worksheet" Target="worksheets/sheet138.xml"/><Relationship Id="rId141" Type="http://schemas.openxmlformats.org/officeDocument/2006/relationships/worksheet" Target="worksheets/sheet139.xml"/><Relationship Id="rId142" Type="http://schemas.openxmlformats.org/officeDocument/2006/relationships/worksheet" Target="worksheets/sheet140.xml"/><Relationship Id="rId143" Type="http://schemas.openxmlformats.org/officeDocument/2006/relationships/worksheet" Target="worksheets/sheet141.xml"/><Relationship Id="rId144" Type="http://schemas.openxmlformats.org/officeDocument/2006/relationships/worksheet" Target="worksheets/sheet142.xml"/><Relationship Id="rId145" Type="http://schemas.openxmlformats.org/officeDocument/2006/relationships/worksheet" Target="worksheets/sheet143.xml"/><Relationship Id="rId146" Type="http://schemas.openxmlformats.org/officeDocument/2006/relationships/worksheet" Target="worksheets/sheet144.xml"/><Relationship Id="rId147" Type="http://schemas.openxmlformats.org/officeDocument/2006/relationships/worksheet" Target="worksheets/sheet145.xml"/><Relationship Id="rId148" Type="http://schemas.openxmlformats.org/officeDocument/2006/relationships/worksheet" Target="worksheets/sheet146.xml"/><Relationship Id="rId149" Type="http://schemas.openxmlformats.org/officeDocument/2006/relationships/worksheet" Target="worksheets/sheet147.xml"/><Relationship Id="rId150" Type="http://schemas.openxmlformats.org/officeDocument/2006/relationships/worksheet" Target="worksheets/sheet148.xml"/><Relationship Id="rId151" Type="http://schemas.openxmlformats.org/officeDocument/2006/relationships/worksheet" Target="worksheets/sheet149.xml"/><Relationship Id="rId152" Type="http://schemas.openxmlformats.org/officeDocument/2006/relationships/worksheet" Target="worksheets/sheet150.xml"/><Relationship Id="rId153" Type="http://schemas.openxmlformats.org/officeDocument/2006/relationships/worksheet" Target="worksheets/sheet151.xml"/><Relationship Id="rId154" Type="http://schemas.openxmlformats.org/officeDocument/2006/relationships/worksheet" Target="worksheets/sheet152.xml"/><Relationship Id="rId155" Type="http://schemas.openxmlformats.org/officeDocument/2006/relationships/worksheet" Target="worksheets/sheet153.xml"/><Relationship Id="rId156" Type="http://schemas.openxmlformats.org/officeDocument/2006/relationships/worksheet" Target="worksheets/sheet154.xml"/><Relationship Id="rId157" Type="http://schemas.openxmlformats.org/officeDocument/2006/relationships/worksheet" Target="worksheets/sheet155.xml"/><Relationship Id="rId158" Type="http://schemas.openxmlformats.org/officeDocument/2006/relationships/worksheet" Target="worksheets/sheet156.xml"/><Relationship Id="rId159" Type="http://schemas.openxmlformats.org/officeDocument/2006/relationships/worksheet" Target="worksheets/sheet157.xml"/><Relationship Id="rId160" Type="http://schemas.openxmlformats.org/officeDocument/2006/relationships/worksheet" Target="worksheets/sheet158.xml"/><Relationship Id="rId161" Type="http://schemas.openxmlformats.org/officeDocument/2006/relationships/worksheet" Target="worksheets/sheet159.xml"/><Relationship Id="rId162" Type="http://schemas.openxmlformats.org/officeDocument/2006/relationships/worksheet" Target="worksheets/sheet160.xml"/><Relationship Id="rId163" Type="http://schemas.openxmlformats.org/officeDocument/2006/relationships/worksheet" Target="worksheets/sheet161.xml"/><Relationship Id="rId164" Type="http://schemas.openxmlformats.org/officeDocument/2006/relationships/worksheet" Target="worksheets/sheet162.xml"/><Relationship Id="rId165" Type="http://schemas.openxmlformats.org/officeDocument/2006/relationships/worksheet" Target="worksheets/sheet163.xml"/><Relationship Id="rId166" Type="http://schemas.openxmlformats.org/officeDocument/2006/relationships/worksheet" Target="worksheets/sheet164.xml"/><Relationship Id="rId167" Type="http://schemas.openxmlformats.org/officeDocument/2006/relationships/worksheet" Target="worksheets/sheet165.xml"/><Relationship Id="rId168" Type="http://schemas.openxmlformats.org/officeDocument/2006/relationships/worksheet" Target="worksheets/sheet166.xml"/><Relationship Id="rId169" Type="http://schemas.openxmlformats.org/officeDocument/2006/relationships/worksheet" Target="worksheets/sheet167.xml"/><Relationship Id="rId170" Type="http://schemas.openxmlformats.org/officeDocument/2006/relationships/worksheet" Target="worksheets/sheet168.xml"/><Relationship Id="rId171" Type="http://schemas.openxmlformats.org/officeDocument/2006/relationships/worksheet" Target="worksheets/sheet169.xml"/><Relationship Id="rId172" Type="http://schemas.openxmlformats.org/officeDocument/2006/relationships/worksheet" Target="worksheets/sheet170.xml"/><Relationship Id="rId173" Type="http://schemas.openxmlformats.org/officeDocument/2006/relationships/worksheet" Target="worksheets/sheet171.xml"/><Relationship Id="rId174" Type="http://schemas.openxmlformats.org/officeDocument/2006/relationships/worksheet" Target="worksheets/sheet172.xml"/><Relationship Id="rId175" Type="http://schemas.openxmlformats.org/officeDocument/2006/relationships/worksheet" Target="worksheets/sheet173.xml"/><Relationship Id="rId176" Type="http://schemas.openxmlformats.org/officeDocument/2006/relationships/worksheet" Target="worksheets/sheet174.xml"/><Relationship Id="rId177" Type="http://schemas.openxmlformats.org/officeDocument/2006/relationships/worksheet" Target="worksheets/sheet175.xml"/><Relationship Id="rId178" Type="http://schemas.openxmlformats.org/officeDocument/2006/relationships/worksheet" Target="worksheets/sheet176.xml"/><Relationship Id="rId179" Type="http://schemas.openxmlformats.org/officeDocument/2006/relationships/worksheet" Target="worksheets/sheet177.xml"/><Relationship Id="rId180" Type="http://schemas.openxmlformats.org/officeDocument/2006/relationships/worksheet" Target="worksheets/sheet178.xml"/><Relationship Id="rId181" Type="http://schemas.openxmlformats.org/officeDocument/2006/relationships/worksheet" Target="worksheets/sheet179.xml"/><Relationship Id="rId182" Type="http://schemas.openxmlformats.org/officeDocument/2006/relationships/worksheet" Target="worksheets/sheet180.xml"/><Relationship Id="rId183" Type="http://schemas.openxmlformats.org/officeDocument/2006/relationships/worksheet" Target="worksheets/sheet181.xml"/><Relationship Id="rId184" Type="http://schemas.openxmlformats.org/officeDocument/2006/relationships/worksheet" Target="worksheets/sheet182.xml"/><Relationship Id="rId185" Type="http://schemas.openxmlformats.org/officeDocument/2006/relationships/worksheet" Target="worksheets/sheet183.xml"/><Relationship Id="rId186" Type="http://schemas.openxmlformats.org/officeDocument/2006/relationships/worksheet" Target="worksheets/sheet184.xml"/><Relationship Id="rId187" Type="http://schemas.openxmlformats.org/officeDocument/2006/relationships/worksheet" Target="worksheets/sheet185.xml"/><Relationship Id="rId188" Type="http://schemas.openxmlformats.org/officeDocument/2006/relationships/worksheet" Target="worksheets/sheet186.xml"/><Relationship Id="rId189" Type="http://schemas.openxmlformats.org/officeDocument/2006/relationships/worksheet" Target="worksheets/sheet187.xml"/><Relationship Id="rId190" Type="http://schemas.openxmlformats.org/officeDocument/2006/relationships/worksheet" Target="worksheets/sheet188.xml"/><Relationship Id="rId191" Type="http://schemas.openxmlformats.org/officeDocument/2006/relationships/worksheet" Target="worksheets/sheet189.xml"/><Relationship Id="rId192" Type="http://schemas.openxmlformats.org/officeDocument/2006/relationships/worksheet" Target="worksheets/sheet190.xml"/><Relationship Id="rId193" Type="http://schemas.openxmlformats.org/officeDocument/2006/relationships/worksheet" Target="worksheets/sheet191.xml"/><Relationship Id="rId194" Type="http://schemas.openxmlformats.org/officeDocument/2006/relationships/worksheet" Target="worksheets/sheet192.xml"/><Relationship Id="rId195" Type="http://schemas.openxmlformats.org/officeDocument/2006/relationships/worksheet" Target="worksheets/sheet193.xml"/><Relationship Id="rId196" Type="http://schemas.openxmlformats.org/officeDocument/2006/relationships/worksheet" Target="worksheets/sheet194.xml"/><Relationship Id="rId197" Type="http://schemas.openxmlformats.org/officeDocument/2006/relationships/worksheet" Target="worksheets/sheet195.xml"/><Relationship Id="rId198" Type="http://schemas.openxmlformats.org/officeDocument/2006/relationships/worksheet" Target="worksheets/sheet196.xml"/><Relationship Id="rId199" Type="http://schemas.openxmlformats.org/officeDocument/2006/relationships/worksheet" Target="worksheets/sheet197.xml"/><Relationship Id="rId200" Type="http://schemas.openxmlformats.org/officeDocument/2006/relationships/worksheet" Target="worksheets/sheet198.xml"/><Relationship Id="rId201" Type="http://schemas.openxmlformats.org/officeDocument/2006/relationships/worksheet" Target="worksheets/sheet199.xml"/><Relationship Id="rId20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8B95E"/>
    <pageSetUpPr fitToPage="false"/>
  </sheetPr>
  <dimension ref="B1:M57"/>
  <sheetViews>
    <sheetView showFormulas="false" showGridLines="false" showRowColHeaders="true" showZeros="true" rightToLeft="false" tabSelected="false" showOutlineSymbols="true" defaultGridColor="true" view="normal" topLeftCell="A8" colorId="64" zoomScale="100" zoomScaleNormal="100" zoomScalePageLayoutView="100" workbookViewId="0">
      <selection pane="topLeft" activeCell="E38" activeCellId="0" sqref="E38"/>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3.67"/>
    <col collapsed="false" customWidth="true" hidden="false" outlineLevel="0" max="3" min="3" style="0" width="9.16"/>
    <col collapsed="false" customWidth="true" hidden="false" outlineLevel="0" max="4" min="4" style="0" width="9"/>
    <col collapsed="false" customWidth="true" hidden="false" outlineLevel="0" max="5" min="5" style="0" width="49.16"/>
    <col collapsed="false" customWidth="true" hidden="false" outlineLevel="0" max="9" min="6" style="0" width="11"/>
    <col collapsed="false" customWidth="true" hidden="false" outlineLevel="0" max="10" min="10" style="0" width="23.33"/>
    <col collapsed="false" customWidth="true" hidden="false" outlineLevel="0" max="11" min="11" style="0" width="11"/>
    <col collapsed="false" customWidth="true" hidden="false" outlineLevel="0" max="13" min="12" style="0" width="10"/>
  </cols>
  <sheetData>
    <row r="1" customFormat="false" ht="3.75" hidden="false" customHeight="true" outlineLevel="0" collapsed="false">
      <c r="B1" s="1"/>
      <c r="C1" s="2"/>
      <c r="D1" s="2"/>
      <c r="E1" s="1"/>
      <c r="F1" s="1"/>
      <c r="G1" s="2"/>
      <c r="H1" s="2"/>
      <c r="I1" s="2"/>
      <c r="J1" s="2"/>
      <c r="K1" s="2"/>
      <c r="L1" s="2"/>
      <c r="M1" s="2"/>
    </row>
    <row r="2" customFormat="false" ht="21.75" hidden="false" customHeight="true" outlineLevel="0" collapsed="false">
      <c r="B2" s="3" t="s">
        <v>0</v>
      </c>
      <c r="C2" s="3"/>
      <c r="D2" s="3"/>
      <c r="E2" s="3"/>
      <c r="F2" s="3"/>
      <c r="G2" s="3"/>
      <c r="H2" s="3"/>
      <c r="I2" s="3"/>
      <c r="J2" s="3"/>
      <c r="K2" s="3"/>
      <c r="L2" s="3"/>
      <c r="M2" s="3"/>
    </row>
    <row r="3" customFormat="false" ht="43.5" hidden="false" customHeight="true" outlineLevel="0" collapsed="false">
      <c r="B3" s="4" t="s">
        <v>1</v>
      </c>
      <c r="C3" s="4"/>
      <c r="D3" s="4"/>
      <c r="E3" s="4"/>
      <c r="F3" s="4"/>
      <c r="G3" s="4"/>
      <c r="H3" s="4"/>
      <c r="I3" s="4"/>
      <c r="J3" s="4"/>
      <c r="K3" s="4"/>
      <c r="L3" s="4"/>
      <c r="M3" s="4"/>
    </row>
    <row r="4" customFormat="false" ht="36" hidden="false" customHeight="true" outlineLevel="0" collapsed="false">
      <c r="B4" s="5" t="s">
        <v>2</v>
      </c>
      <c r="C4" s="5"/>
      <c r="D4" s="5"/>
      <c r="E4" s="5"/>
      <c r="F4" s="5"/>
      <c r="G4" s="5"/>
      <c r="H4" s="5"/>
      <c r="I4" s="5"/>
      <c r="J4" s="5"/>
      <c r="K4" s="5"/>
      <c r="L4" s="5"/>
      <c r="M4" s="5"/>
    </row>
    <row r="5" customFormat="false" ht="15" hidden="false" customHeight="true" outlineLevel="0" collapsed="false">
      <c r="B5" s="6"/>
      <c r="E5" s="6"/>
      <c r="F5" s="6"/>
    </row>
    <row r="6" customFormat="false" ht="18" hidden="false" customHeight="true" outlineLevel="0" collapsed="false">
      <c r="B6" s="7" t="s">
        <v>3</v>
      </c>
      <c r="C6" s="7"/>
      <c r="D6" s="7"/>
      <c r="E6" s="7"/>
      <c r="F6" s="7"/>
      <c r="G6" s="7"/>
      <c r="H6" s="7"/>
      <c r="I6" s="7"/>
      <c r="J6" s="7"/>
      <c r="K6" s="7"/>
      <c r="L6" s="7"/>
      <c r="M6" s="7"/>
    </row>
    <row r="7" customFormat="false" ht="18" hidden="false" customHeight="true" outlineLevel="0" collapsed="false">
      <c r="B7" s="8" t="s">
        <v>4</v>
      </c>
      <c r="C7" s="8"/>
      <c r="D7" s="8"/>
      <c r="E7" s="8" t="s">
        <v>5</v>
      </c>
      <c r="F7" s="8"/>
      <c r="G7" s="8"/>
      <c r="H7" s="9" t="s">
        <v>6</v>
      </c>
      <c r="I7" s="9"/>
      <c r="J7" s="9"/>
      <c r="K7" s="9" t="s">
        <v>7</v>
      </c>
      <c r="L7" s="9"/>
      <c r="M7" s="9"/>
    </row>
    <row r="8" customFormat="false" ht="31.5" hidden="false" customHeight="true" outlineLevel="0" collapsed="false">
      <c r="B8" s="10" t="n">
        <f aca="false">'Exec Summary'!C12</f>
        <v>6672022.15</v>
      </c>
      <c r="C8" s="10"/>
      <c r="D8" s="10"/>
      <c r="E8" s="10" t="n">
        <f aca="false">'Exec Summary'!E12</f>
        <v>2261172.256525</v>
      </c>
      <c r="F8" s="10"/>
      <c r="G8" s="10"/>
      <c r="H8" s="11" t="n">
        <f aca="false">'Exec Summary'!F12</f>
        <v>0.338903589599894</v>
      </c>
      <c r="I8" s="11"/>
      <c r="J8" s="11"/>
      <c r="K8" s="12" t="s">
        <v>8</v>
      </c>
      <c r="L8" s="12"/>
      <c r="M8" s="12"/>
    </row>
    <row r="9" customFormat="false" ht="15" hidden="false" customHeight="true" outlineLevel="0" collapsed="false">
      <c r="B9" s="6"/>
      <c r="E9" s="6"/>
      <c r="F9" s="6"/>
    </row>
    <row r="10" customFormat="false" ht="15" hidden="false" customHeight="true" outlineLevel="0" collapsed="false">
      <c r="B10" s="6"/>
      <c r="E10" s="6"/>
      <c r="F10" s="6"/>
    </row>
    <row r="11" customFormat="false" ht="27.75" hidden="false" customHeight="true" outlineLevel="0" collapsed="false">
      <c r="B11" s="13" t="s">
        <v>9</v>
      </c>
      <c r="C11" s="13"/>
      <c r="D11" s="14"/>
      <c r="E11" s="15" t="s">
        <v>10</v>
      </c>
      <c r="F11" s="15"/>
      <c r="G11" s="15"/>
      <c r="H11" s="15"/>
      <c r="I11" s="15"/>
      <c r="J11" s="15"/>
      <c r="K11" s="15"/>
      <c r="L11" s="16" t="s">
        <v>11</v>
      </c>
      <c r="M11" s="16"/>
    </row>
    <row r="12" customFormat="false" ht="36" hidden="false" customHeight="true" outlineLevel="0" collapsed="false">
      <c r="B12" s="13"/>
      <c r="C12" s="13"/>
      <c r="D12" s="14"/>
      <c r="E12" s="17" t="s">
        <v>12</v>
      </c>
      <c r="F12" s="17"/>
      <c r="G12" s="17"/>
      <c r="H12" s="17"/>
      <c r="I12" s="17"/>
      <c r="J12" s="17"/>
      <c r="K12" s="17"/>
      <c r="L12" s="17"/>
      <c r="M12" s="17"/>
    </row>
    <row r="13" customFormat="false" ht="18" hidden="false" customHeight="true" outlineLevel="0" collapsed="false">
      <c r="B13" s="13"/>
      <c r="C13" s="13"/>
      <c r="D13" s="14"/>
      <c r="E13" s="14"/>
      <c r="F13" s="17"/>
      <c r="G13" s="17"/>
      <c r="H13" s="17"/>
      <c r="I13" s="17"/>
      <c r="J13" s="17"/>
      <c r="K13" s="17"/>
      <c r="L13" s="17"/>
      <c r="M13" s="17"/>
    </row>
    <row r="14" customFormat="false" ht="24" hidden="false" customHeight="true" outlineLevel="0" collapsed="false">
      <c r="B14" s="13"/>
      <c r="C14" s="13"/>
      <c r="D14" s="14"/>
      <c r="E14" s="18" t="s">
        <v>13</v>
      </c>
      <c r="F14" s="6"/>
    </row>
    <row r="15" customFormat="false" ht="7.5" hidden="false" customHeight="true" outlineLevel="0" collapsed="false">
      <c r="B15" s="13"/>
      <c r="C15" s="13"/>
      <c r="D15" s="14"/>
      <c r="E15" s="6"/>
      <c r="F15" s="6"/>
    </row>
    <row r="16" customFormat="false" ht="15" hidden="false" customHeight="true" outlineLevel="0" collapsed="false">
      <c r="B16" s="6"/>
      <c r="E16" s="6"/>
      <c r="F16" s="6"/>
    </row>
    <row r="17" customFormat="false" ht="27.75" hidden="false" customHeight="true" outlineLevel="0" collapsed="false">
      <c r="B17" s="13" t="s">
        <v>14</v>
      </c>
      <c r="C17" s="13"/>
      <c r="D17" s="19"/>
      <c r="E17" s="15" t="s">
        <v>15</v>
      </c>
      <c r="F17" s="15"/>
      <c r="G17" s="15"/>
      <c r="H17" s="15"/>
      <c r="I17" s="15"/>
      <c r="J17" s="15"/>
      <c r="K17" s="15"/>
      <c r="L17" s="16" t="s">
        <v>16</v>
      </c>
      <c r="M17" s="16"/>
    </row>
    <row r="18" customFormat="false" ht="36" hidden="false" customHeight="true" outlineLevel="0" collapsed="false">
      <c r="B18" s="13"/>
      <c r="C18" s="13"/>
      <c r="D18" s="19"/>
      <c r="E18" s="17" t="s">
        <v>17</v>
      </c>
      <c r="F18" s="17"/>
      <c r="G18" s="17"/>
      <c r="H18" s="17"/>
      <c r="I18" s="17"/>
      <c r="J18" s="17"/>
      <c r="K18" s="17"/>
      <c r="L18" s="17"/>
      <c r="M18" s="17"/>
    </row>
    <row r="19" customFormat="false" ht="18" hidden="false" customHeight="true" outlineLevel="0" collapsed="false">
      <c r="B19" s="13"/>
      <c r="C19" s="13"/>
      <c r="D19" s="19"/>
      <c r="E19" s="19"/>
      <c r="F19" s="17"/>
      <c r="G19" s="17"/>
      <c r="H19" s="17"/>
      <c r="I19" s="17"/>
      <c r="J19" s="17"/>
      <c r="K19" s="17"/>
      <c r="L19" s="17"/>
      <c r="M19" s="17"/>
    </row>
    <row r="20" customFormat="false" ht="24" hidden="false" customHeight="true" outlineLevel="0" collapsed="false">
      <c r="B20" s="13"/>
      <c r="C20" s="13"/>
      <c r="D20" s="19"/>
      <c r="E20" s="20" t="s">
        <v>18</v>
      </c>
      <c r="F20" s="6"/>
    </row>
    <row r="21" customFormat="false" ht="7.5" hidden="false" customHeight="true" outlineLevel="0" collapsed="false">
      <c r="B21" s="13"/>
      <c r="C21" s="13"/>
      <c r="D21" s="19"/>
      <c r="E21" s="6"/>
      <c r="F21" s="6"/>
    </row>
    <row r="22" customFormat="false" ht="15" hidden="false" customHeight="true" outlineLevel="0" collapsed="false">
      <c r="B22" s="6"/>
      <c r="E22" s="6"/>
      <c r="F22" s="6"/>
    </row>
    <row r="23" customFormat="false" ht="27.75" hidden="false" customHeight="true" outlineLevel="0" collapsed="false">
      <c r="B23" s="13" t="s">
        <v>19</v>
      </c>
      <c r="C23" s="13"/>
      <c r="D23" s="21"/>
      <c r="E23" s="15" t="s">
        <v>20</v>
      </c>
      <c r="F23" s="15"/>
      <c r="G23" s="15"/>
      <c r="H23" s="15"/>
      <c r="I23" s="15"/>
      <c r="J23" s="15"/>
      <c r="K23" s="15"/>
      <c r="L23" s="16" t="s">
        <v>21</v>
      </c>
      <c r="M23" s="16"/>
    </row>
    <row r="24" customFormat="false" ht="36" hidden="false" customHeight="true" outlineLevel="0" collapsed="false">
      <c r="B24" s="13"/>
      <c r="C24" s="13"/>
      <c r="D24" s="21"/>
      <c r="E24" s="17" t="s">
        <v>22</v>
      </c>
      <c r="F24" s="17"/>
      <c r="G24" s="17"/>
      <c r="H24" s="17"/>
      <c r="I24" s="17"/>
      <c r="J24" s="17"/>
      <c r="K24" s="17"/>
      <c r="L24" s="17"/>
      <c r="M24" s="17"/>
    </row>
    <row r="25" customFormat="false" ht="18" hidden="false" customHeight="true" outlineLevel="0" collapsed="false">
      <c r="B25" s="13"/>
      <c r="C25" s="13"/>
      <c r="D25" s="21"/>
      <c r="E25" s="21"/>
      <c r="F25" s="17"/>
      <c r="G25" s="17"/>
      <c r="H25" s="17"/>
      <c r="I25" s="17"/>
      <c r="J25" s="17"/>
      <c r="K25" s="17"/>
      <c r="L25" s="17"/>
      <c r="M25" s="17"/>
    </row>
    <row r="26" customFormat="false" ht="24" hidden="false" customHeight="true" outlineLevel="0" collapsed="false">
      <c r="B26" s="13"/>
      <c r="C26" s="13"/>
      <c r="D26" s="21"/>
      <c r="E26" s="22" t="s">
        <v>23</v>
      </c>
      <c r="F26" s="6"/>
    </row>
    <row r="27" customFormat="false" ht="7.5" hidden="false" customHeight="true" outlineLevel="0" collapsed="false">
      <c r="B27" s="13"/>
      <c r="C27" s="13"/>
      <c r="D27" s="21"/>
      <c r="E27" s="6"/>
      <c r="F27" s="6"/>
    </row>
    <row r="28" customFormat="false" ht="15" hidden="false" customHeight="true" outlineLevel="0" collapsed="false">
      <c r="B28" s="6"/>
      <c r="E28" s="6"/>
      <c r="F28" s="6"/>
    </row>
    <row r="29" customFormat="false" ht="27.75" hidden="false" customHeight="true" outlineLevel="0" collapsed="false">
      <c r="B29" s="13" t="s">
        <v>24</v>
      </c>
      <c r="C29" s="13"/>
      <c r="D29" s="23"/>
      <c r="E29" s="15" t="s">
        <v>25</v>
      </c>
      <c r="F29" s="15"/>
      <c r="G29" s="15"/>
      <c r="H29" s="15"/>
      <c r="I29" s="15"/>
      <c r="J29" s="15"/>
      <c r="K29" s="15"/>
      <c r="L29" s="16" t="s">
        <v>26</v>
      </c>
      <c r="M29" s="16"/>
    </row>
    <row r="30" customFormat="false" ht="36" hidden="false" customHeight="true" outlineLevel="0" collapsed="false">
      <c r="B30" s="13"/>
      <c r="C30" s="13"/>
      <c r="D30" s="23"/>
      <c r="E30" s="17" t="s">
        <v>27</v>
      </c>
      <c r="F30" s="17"/>
      <c r="G30" s="17"/>
      <c r="H30" s="17"/>
      <c r="I30" s="17"/>
      <c r="J30" s="17"/>
      <c r="K30" s="17"/>
      <c r="L30" s="17"/>
      <c r="M30" s="17"/>
    </row>
    <row r="31" customFormat="false" ht="18" hidden="false" customHeight="true" outlineLevel="0" collapsed="false">
      <c r="B31" s="13"/>
      <c r="C31" s="13"/>
      <c r="D31" s="23"/>
      <c r="E31" s="23"/>
      <c r="F31" s="17"/>
      <c r="G31" s="17"/>
      <c r="H31" s="17"/>
      <c r="I31" s="17"/>
      <c r="J31" s="17"/>
      <c r="K31" s="17"/>
      <c r="L31" s="17"/>
      <c r="M31" s="17"/>
    </row>
    <row r="32" customFormat="false" ht="24" hidden="false" customHeight="true" outlineLevel="0" collapsed="false">
      <c r="B32" s="13"/>
      <c r="C32" s="13"/>
      <c r="D32" s="23"/>
      <c r="E32" s="24" t="s">
        <v>28</v>
      </c>
      <c r="F32" s="6"/>
    </row>
    <row r="33" customFormat="false" ht="7.5" hidden="false" customHeight="true" outlineLevel="0" collapsed="false">
      <c r="B33" s="13"/>
      <c r="C33" s="13"/>
      <c r="D33" s="23"/>
      <c r="E33" s="6"/>
      <c r="F33" s="6"/>
    </row>
    <row r="34" customFormat="false" ht="15" hidden="false" customHeight="true" outlineLevel="0" collapsed="false">
      <c r="B34" s="6"/>
      <c r="E34" s="6"/>
      <c r="F34" s="6"/>
    </row>
    <row r="35" customFormat="false" ht="27.75" hidden="false" customHeight="true" outlineLevel="0" collapsed="false">
      <c r="B35" s="13" t="s">
        <v>29</v>
      </c>
      <c r="C35" s="13"/>
      <c r="D35" s="25"/>
      <c r="E35" s="15" t="s">
        <v>30</v>
      </c>
      <c r="F35" s="15"/>
      <c r="G35" s="15"/>
      <c r="H35" s="15"/>
      <c r="I35" s="15"/>
      <c r="J35" s="15"/>
      <c r="K35" s="15"/>
      <c r="L35" s="16" t="s">
        <v>26</v>
      </c>
      <c r="M35" s="16"/>
    </row>
    <row r="36" customFormat="false" ht="36" hidden="false" customHeight="true" outlineLevel="0" collapsed="false">
      <c r="B36" s="13"/>
      <c r="C36" s="13"/>
      <c r="D36" s="25"/>
      <c r="E36" s="17" t="s">
        <v>31</v>
      </c>
      <c r="F36" s="17"/>
      <c r="G36" s="17"/>
      <c r="H36" s="17"/>
      <c r="I36" s="17"/>
      <c r="J36" s="17"/>
      <c r="K36" s="17"/>
      <c r="L36" s="17"/>
      <c r="M36" s="17"/>
    </row>
    <row r="37" customFormat="false" ht="18" hidden="false" customHeight="true" outlineLevel="0" collapsed="false">
      <c r="B37" s="13"/>
      <c r="C37" s="13"/>
      <c r="D37" s="25"/>
      <c r="E37" s="25"/>
      <c r="F37" s="17"/>
      <c r="G37" s="17"/>
      <c r="H37" s="17"/>
      <c r="I37" s="17"/>
      <c r="J37" s="17"/>
      <c r="K37" s="17"/>
      <c r="L37" s="17"/>
      <c r="M37" s="17"/>
    </row>
    <row r="38" customFormat="false" ht="24" hidden="false" customHeight="true" outlineLevel="0" collapsed="false">
      <c r="B38" s="13"/>
      <c r="C38" s="13"/>
      <c r="D38" s="25"/>
      <c r="E38" s="26" t="s">
        <v>32</v>
      </c>
      <c r="F38" s="6"/>
    </row>
    <row r="39" customFormat="false" ht="7.5" hidden="false" customHeight="true" outlineLevel="0" collapsed="false">
      <c r="B39" s="13"/>
      <c r="C39" s="13"/>
      <c r="D39" s="25"/>
      <c r="E39" s="6"/>
      <c r="F39" s="6"/>
    </row>
    <row r="40" customFormat="false" ht="15" hidden="false" customHeight="true" outlineLevel="0" collapsed="false">
      <c r="B40" s="6"/>
      <c r="E40" s="6"/>
      <c r="F40" s="6"/>
    </row>
    <row r="41" customFormat="false" ht="15" hidden="false" customHeight="true" outlineLevel="0" collapsed="false">
      <c r="B41" s="6"/>
      <c r="E41" s="6"/>
      <c r="F41" s="6"/>
    </row>
    <row r="42" customFormat="false" ht="15" hidden="false" customHeight="true" outlineLevel="0" collapsed="false">
      <c r="B42" s="6"/>
      <c r="E42" s="6"/>
      <c r="F42" s="6"/>
    </row>
    <row r="43" customFormat="false" ht="25.5" hidden="false" customHeight="true" outlineLevel="0" collapsed="false">
      <c r="B43" s="27" t="s">
        <v>33</v>
      </c>
      <c r="C43" s="27"/>
      <c r="D43" s="27"/>
      <c r="E43" s="27"/>
      <c r="F43" s="27"/>
      <c r="G43" s="27"/>
      <c r="H43" s="27"/>
      <c r="I43" s="27"/>
      <c r="J43" s="27"/>
      <c r="K43" s="27"/>
      <c r="L43" s="27"/>
      <c r="M43" s="27"/>
    </row>
    <row r="44" customFormat="false" ht="15" hidden="false" customHeight="true" outlineLevel="0" collapsed="false">
      <c r="B44" s="6"/>
      <c r="E44" s="6"/>
      <c r="F44" s="6"/>
    </row>
    <row r="45" customFormat="false" ht="21.75" hidden="false" customHeight="true" outlineLevel="0" collapsed="false">
      <c r="B45" s="28" t="s">
        <v>34</v>
      </c>
      <c r="C45" s="28"/>
      <c r="D45" s="28"/>
      <c r="E45" s="28"/>
      <c r="F45" s="28"/>
      <c r="G45" s="28"/>
      <c r="H45" s="28"/>
      <c r="I45" s="28"/>
      <c r="J45" s="28"/>
      <c r="K45" s="28"/>
      <c r="L45" s="28"/>
      <c r="M45" s="28"/>
    </row>
    <row r="46" customFormat="false" ht="21.75" hidden="false" customHeight="true" outlineLevel="0" collapsed="false">
      <c r="B46" s="29" t="s">
        <v>35</v>
      </c>
      <c r="C46" s="29"/>
      <c r="D46" s="29"/>
      <c r="E46" s="29"/>
      <c r="F46" s="29" t="s">
        <v>36</v>
      </c>
      <c r="G46" s="29"/>
      <c r="H46" s="29"/>
      <c r="I46" s="29"/>
      <c r="J46" s="30" t="s">
        <v>37</v>
      </c>
      <c r="K46" s="30"/>
      <c r="L46" s="30"/>
      <c r="M46" s="30"/>
    </row>
    <row r="47" customFormat="false" ht="36" hidden="false" customHeight="true" outlineLevel="0" collapsed="false">
      <c r="B47" s="31" t="s">
        <v>38</v>
      </c>
      <c r="C47" s="31"/>
      <c r="D47" s="31"/>
      <c r="E47" s="31"/>
      <c r="F47" s="32" t="s">
        <v>39</v>
      </c>
      <c r="J47" s="33" t="s">
        <v>40</v>
      </c>
      <c r="K47" s="33"/>
      <c r="L47" s="33"/>
      <c r="M47" s="33"/>
    </row>
    <row r="48" customFormat="false" ht="18" hidden="false" customHeight="true" outlineLevel="0" collapsed="false">
      <c r="B48" s="31"/>
      <c r="C48" s="31"/>
      <c r="D48" s="31"/>
      <c r="E48" s="31"/>
      <c r="F48" s="6"/>
      <c r="J48" s="33"/>
      <c r="K48" s="33"/>
      <c r="L48" s="33"/>
      <c r="M48" s="33"/>
    </row>
    <row r="49" customFormat="false" ht="21.75" hidden="false" customHeight="true" outlineLevel="0" collapsed="false">
      <c r="B49" s="34" t="s">
        <v>41</v>
      </c>
      <c r="E49" s="6"/>
      <c r="F49" s="34" t="s">
        <v>42</v>
      </c>
      <c r="J49" s="35" t="str">
        <f aca="false">HYPERLINK("#INDEX!A1","  → ~45 min · open INDEX")</f>
        <v>  → ~45 min · open INDEX</v>
      </c>
    </row>
    <row r="50" customFormat="false" ht="15" hidden="false" customHeight="true" outlineLevel="0" collapsed="false">
      <c r="B50" s="6"/>
      <c r="E50" s="6"/>
      <c r="F50" s="6"/>
    </row>
    <row r="51" customFormat="false" ht="33.75" hidden="false" customHeight="true" outlineLevel="0" collapsed="false">
      <c r="B51" s="36" t="s">
        <v>43</v>
      </c>
      <c r="C51" s="36"/>
      <c r="D51" s="36"/>
      <c r="E51" s="36"/>
      <c r="F51" s="36"/>
      <c r="G51" s="36"/>
      <c r="H51" s="36"/>
      <c r="I51" s="36"/>
      <c r="J51" s="36"/>
      <c r="K51" s="36"/>
      <c r="L51" s="36"/>
      <c r="M51" s="36"/>
    </row>
    <row r="52" customFormat="false" ht="19.5" hidden="false" customHeight="true" outlineLevel="0" collapsed="false">
      <c r="B52" s="37" t="s">
        <v>44</v>
      </c>
      <c r="C52" s="37"/>
      <c r="D52" s="37"/>
      <c r="E52" s="37"/>
      <c r="F52" s="37"/>
      <c r="G52" s="37"/>
      <c r="H52" s="38" t="s">
        <v>45</v>
      </c>
    </row>
    <row r="53" customFormat="false" ht="19.5" hidden="false" customHeight="true" outlineLevel="0" collapsed="false">
      <c r="B53" s="37" t="s">
        <v>46</v>
      </c>
      <c r="C53" s="37"/>
      <c r="D53" s="37"/>
      <c r="E53" s="37"/>
      <c r="F53" s="37"/>
      <c r="G53" s="37"/>
      <c r="H53" s="39" t="s">
        <v>47</v>
      </c>
      <c r="I53" s="39"/>
      <c r="J53" s="39"/>
      <c r="K53" s="39"/>
      <c r="L53" s="39"/>
      <c r="M53" s="39"/>
    </row>
    <row r="54" customFormat="false" ht="19.5" hidden="false" customHeight="true" outlineLevel="0" collapsed="false">
      <c r="B54" s="37" t="s">
        <v>48</v>
      </c>
      <c r="C54" s="37"/>
      <c r="D54" s="37"/>
      <c r="E54" s="37"/>
      <c r="F54" s="37"/>
      <c r="G54" s="37"/>
      <c r="H54" s="39" t="s">
        <v>49</v>
      </c>
      <c r="I54" s="39"/>
      <c r="J54" s="39"/>
      <c r="K54" s="39"/>
      <c r="L54" s="39"/>
      <c r="M54" s="39"/>
    </row>
    <row r="55" customFormat="false" ht="19.5" hidden="false" customHeight="true" outlineLevel="0" collapsed="false">
      <c r="B55" s="37" t="s">
        <v>50</v>
      </c>
      <c r="C55" s="37"/>
      <c r="D55" s="37"/>
      <c r="E55" s="37"/>
      <c r="F55" s="37"/>
      <c r="G55" s="37"/>
      <c r="H55" s="39" t="s">
        <v>51</v>
      </c>
      <c r="I55" s="39"/>
      <c r="J55" s="39"/>
      <c r="K55" s="39"/>
      <c r="L55" s="39"/>
      <c r="M55" s="39"/>
    </row>
    <row r="56" customFormat="false" ht="19.5" hidden="false" customHeight="true" outlineLevel="0" collapsed="false">
      <c r="B56" s="37" t="s">
        <v>52</v>
      </c>
      <c r="C56" s="37"/>
      <c r="D56" s="37"/>
      <c r="E56" s="37"/>
      <c r="F56" s="37"/>
      <c r="G56" s="37"/>
      <c r="H56" s="39" t="s">
        <v>53</v>
      </c>
      <c r="I56" s="39"/>
      <c r="J56" s="39"/>
      <c r="K56" s="39"/>
      <c r="L56" s="39"/>
      <c r="M56" s="39"/>
    </row>
    <row r="57" customFormat="false" ht="19.5" hidden="false" customHeight="true" outlineLevel="0" collapsed="false">
      <c r="B57" s="37" t="s">
        <v>54</v>
      </c>
      <c r="C57" s="37"/>
      <c r="D57" s="37"/>
      <c r="E57" s="37"/>
      <c r="F57" s="37"/>
      <c r="G57" s="37"/>
      <c r="H57" s="39" t="s">
        <v>55</v>
      </c>
      <c r="I57" s="39"/>
      <c r="J57" s="39"/>
      <c r="K57" s="39"/>
      <c r="L57" s="39"/>
      <c r="M57" s="39"/>
    </row>
  </sheetData>
  <mergeCells count="56">
    <mergeCell ref="B2:M2"/>
    <mergeCell ref="B3:M3"/>
    <mergeCell ref="B4:M4"/>
    <mergeCell ref="B6:M6"/>
    <mergeCell ref="B7:D7"/>
    <mergeCell ref="E7:G7"/>
    <mergeCell ref="H7:J7"/>
    <mergeCell ref="K7:M7"/>
    <mergeCell ref="B8:D8"/>
    <mergeCell ref="E8:G8"/>
    <mergeCell ref="H8:J8"/>
    <mergeCell ref="K8:M8"/>
    <mergeCell ref="B11:C15"/>
    <mergeCell ref="D11:D15"/>
    <mergeCell ref="E11:K11"/>
    <mergeCell ref="L11:M11"/>
    <mergeCell ref="E12:M13"/>
    <mergeCell ref="B17:C21"/>
    <mergeCell ref="D17:D21"/>
    <mergeCell ref="E17:K17"/>
    <mergeCell ref="L17:M17"/>
    <mergeCell ref="E18:M19"/>
    <mergeCell ref="B23:C27"/>
    <mergeCell ref="D23:D27"/>
    <mergeCell ref="E23:K23"/>
    <mergeCell ref="L23:M23"/>
    <mergeCell ref="E24:M25"/>
    <mergeCell ref="B29:C33"/>
    <mergeCell ref="D29:D33"/>
    <mergeCell ref="E29:K29"/>
    <mergeCell ref="L29:M29"/>
    <mergeCell ref="E30:M31"/>
    <mergeCell ref="B35:C39"/>
    <mergeCell ref="D35:D39"/>
    <mergeCell ref="E35:K35"/>
    <mergeCell ref="L35:M35"/>
    <mergeCell ref="E36:M37"/>
    <mergeCell ref="B43:M43"/>
    <mergeCell ref="B45:M45"/>
    <mergeCell ref="B46:E46"/>
    <mergeCell ref="F46:I46"/>
    <mergeCell ref="J46:M46"/>
    <mergeCell ref="B47:E48"/>
    <mergeCell ref="J47:M48"/>
    <mergeCell ref="B51:M51"/>
    <mergeCell ref="B52:G52"/>
    <mergeCell ref="B53:G53"/>
    <mergeCell ref="H53:M53"/>
    <mergeCell ref="B54:G54"/>
    <mergeCell ref="H54:M54"/>
    <mergeCell ref="B55:G55"/>
    <mergeCell ref="H55:M55"/>
    <mergeCell ref="B56:G56"/>
    <mergeCell ref="H56:M56"/>
    <mergeCell ref="B57:G57"/>
    <mergeCell ref="H57:M57"/>
  </mergeCells>
  <hyperlinks>
    <hyperlink ref="E14" location="'Exec Summary'!A1" display="  →  CLICK HERE TO OPEN: Exec Summary"/>
    <hyperlink ref="E20" location="INVESTOR_NARRATIVE!A1" display="  →  CLICK HERE TO OPEN: INVESTOR_NARRATIVE"/>
    <hyperlink ref="E26" location="MASTER_FLOW_DASHBOARD!A1" display="  →  CLICK HERE TO OPEN: MASTER_FLOW_DASHBOARD"/>
    <hyperlink ref="E32" location="Sensitivity!A1" display="  →  CLICK HERE TO OPEN: Sensitivity"/>
    <hyperlink ref="E38" location="CapEx!A1" display="  →  CLICK HERE TO OPEN: CapEx"/>
    <hyperlink ref="B49" location="'Gaming · SUMMARY'!A1" display="  → ~10 min · open Gaming · SUMMARY"/>
    <hyperlink ref="F49" location="Cross-Pillar!A1" display="  → ~5 min · open Cross-Pillar"/>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K70"/>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F29" activeCellId="0" sqref="F29"/>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2.5"/>
    <col collapsed="false" customWidth="true" hidden="false" outlineLevel="0" max="4" min="4" style="0" width="15.33"/>
    <col collapsed="false" customWidth="true" hidden="false" outlineLevel="0" max="5" min="5" style="0" width="18.16"/>
    <col collapsed="false" customWidth="true" hidden="false" outlineLevel="0" max="6" min="6" style="0" width="14.83"/>
    <col collapsed="false" customWidth="true" hidden="false" outlineLevel="0" max="9" min="7" style="0" width="12"/>
    <col collapsed="false" customWidth="true" hidden="false" outlineLevel="0" max="11" min="10" style="0" width="11"/>
  </cols>
  <sheetData>
    <row r="1" customFormat="false" ht="15" hidden="false" customHeight="true" outlineLevel="0" collapsed="false">
      <c r="B1" s="6"/>
      <c r="D1" s="6"/>
      <c r="E1" s="6"/>
      <c r="F1" s="6"/>
    </row>
    <row r="2" customFormat="false" ht="33.75" hidden="false" customHeight="true" outlineLevel="0" collapsed="false">
      <c r="B2" s="257" t="s">
        <v>930</v>
      </c>
      <c r="C2" s="257"/>
      <c r="D2" s="257"/>
      <c r="E2" s="257"/>
      <c r="F2" s="257"/>
      <c r="G2" s="257"/>
      <c r="H2" s="257"/>
      <c r="I2" s="257"/>
    </row>
    <row r="3" customFormat="false" ht="36" hidden="false" customHeight="true" outlineLevel="0" collapsed="false">
      <c r="B3" s="258" t="s">
        <v>931</v>
      </c>
      <c r="C3" s="258"/>
      <c r="D3" s="258"/>
      <c r="E3" s="258"/>
      <c r="F3" s="258"/>
      <c r="G3" s="258"/>
      <c r="H3" s="258"/>
      <c r="I3" s="258"/>
    </row>
    <row r="4" customFormat="false" ht="15" hidden="false" customHeight="true" outlineLevel="0" collapsed="false">
      <c r="B4" s="6"/>
      <c r="D4" s="6"/>
      <c r="E4" s="6"/>
      <c r="F4" s="6"/>
    </row>
    <row r="5" customFormat="false" ht="15" hidden="false" customHeight="true" outlineLevel="0" collapsed="false">
      <c r="B5" s="259" t="s">
        <v>932</v>
      </c>
      <c r="C5" s="259"/>
      <c r="D5" s="259"/>
      <c r="E5" s="259"/>
      <c r="F5" s="259"/>
      <c r="G5" s="259"/>
      <c r="H5" s="259"/>
      <c r="I5" s="259"/>
    </row>
    <row r="6" customFormat="false" ht="15" hidden="false" customHeight="true" outlineLevel="0" collapsed="false">
      <c r="B6" s="6"/>
      <c r="D6" s="6"/>
      <c r="E6" s="6"/>
      <c r="F6" s="6"/>
    </row>
    <row r="7" customFormat="false" ht="15" hidden="false" customHeight="true" outlineLevel="0" collapsed="false">
      <c r="B7" s="260" t="s">
        <v>206</v>
      </c>
      <c r="C7" s="261" t="s">
        <v>933</v>
      </c>
      <c r="D7" s="260" t="s">
        <v>909</v>
      </c>
      <c r="E7" s="260" t="s">
        <v>911</v>
      </c>
      <c r="F7" s="260" t="s">
        <v>934</v>
      </c>
    </row>
    <row r="8" customFormat="false" ht="15" hidden="false" customHeight="true" outlineLevel="0" collapsed="false">
      <c r="B8" s="6" t="s">
        <v>935</v>
      </c>
      <c r="C8" s="142" t="n">
        <f aca="false">MASTER_ASSUMPTIONS!C26</f>
        <v>34549629.9942212</v>
      </c>
      <c r="D8" s="241" t="n">
        <f aca="false">'Consolidated 8Yr P&amp;L'!G35*MASTER_ASSUMPTIONS!C27</f>
        <v>37486862.8659853</v>
      </c>
      <c r="E8" s="241" t="n">
        <f aca="false">'Consolidated 8Yr P&amp;L'!I35*MASTER_ASSUMPTIONS!C27</f>
        <v>39081967.8605335</v>
      </c>
      <c r="F8" s="241" t="n">
        <f aca="false">'Consolidated 8Yr P&amp;L'!J35*MASTER_ASSUMPTIONS!C27</f>
        <v>40180479.2415927</v>
      </c>
    </row>
    <row r="9" customFormat="false" ht="36" hidden="false" customHeight="true" outlineLevel="0" collapsed="false">
      <c r="B9" s="6" t="s">
        <v>936</v>
      </c>
      <c r="C9" s="142" t="n">
        <f aca="false">(MASTER_ASSUMPTIONS!C15-MASTER_ASSUMPTIONS!C22)*C8</f>
        <v>12982023.3043181</v>
      </c>
      <c r="D9" s="241" t="n">
        <f aca="false">(MASTER_ASSUMPTIONS!C15-MASTER_ASSUMPTIONS!C22)*D8</f>
        <v>14085688.5417701</v>
      </c>
      <c r="E9" s="241" t="n">
        <f aca="false">(MASTER_ASSUMPTIONS!C15-MASTER_ASSUMPTIONS!C22)*E8</f>
        <v>14685049.2358071</v>
      </c>
      <c r="F9" s="241" t="n">
        <f aca="false">(MASTER_ASSUMPTIONS!C15-MASTER_ASSUMPTIONS!C22)*F8</f>
        <v>15097814.8819618</v>
      </c>
    </row>
    <row r="10" customFormat="false" ht="156" hidden="false" customHeight="true" outlineLevel="0" collapsed="false">
      <c r="B10" s="6" t="s">
        <v>937</v>
      </c>
      <c r="C10" s="142" t="n">
        <f aca="false">0.4*MASTER_ASSUMPTIONS!C15*('Consolidated 8Yr P&amp;L'!D35+'Consolidated 8Yr P&amp;L'!E35)</f>
        <v>719207.802946747</v>
      </c>
      <c r="D10" s="241" t="n">
        <f aca="false">0.4*MASTER_ASSUMPTIONS!C15*('Consolidated 8Yr P&amp;L'!D35+'Consolidated 8Yr P&amp;L'!E35+'Consolidated 8Yr P&amp;L'!F35+'Consolidated 8Yr P&amp;L'!G35)</f>
        <v>1520040.099075</v>
      </c>
      <c r="E10" s="241" t="n">
        <f aca="false">0.4*MASTER_ASSUMPTIONS!C15*('Consolidated 8Yr P&amp;L'!D35+'Consolidated 8Yr P&amp;L'!E35+'Consolidated 8Yr P&amp;L'!F35+'Consolidated 8Yr P&amp;L'!G35+'Consolidated 8Yr P&amp;L'!H35+'Consolidated 8Yr P&amp;L'!I35)</f>
        <v>2388010.04386639</v>
      </c>
      <c r="F10" s="241" t="n">
        <f aca="false">0.4*MASTER_ASSUMPTIONS!C15*('Consolidated 8Yr P&amp;L'!D35+'Consolidated 8Yr P&amp;L'!E35+'Consolidated 8Yr P&amp;L'!F35+'Consolidated 8Yr P&amp;L'!G35+'Consolidated 8Yr P&amp;L'!H35+'Consolidated 8Yr P&amp;L'!I35+'Consolidated 8Yr P&amp;L'!J35)</f>
        <v>2840040.42955387</v>
      </c>
    </row>
    <row r="11" customFormat="false" ht="15" hidden="false" customHeight="true" outlineLevel="0" collapsed="false">
      <c r="B11" s="6" t="s">
        <v>938</v>
      </c>
      <c r="C11" s="142" t="n">
        <f aca="false">MASTER_ASSUMPTIONS!C22*MASTER_ASSUMPTIONS!C19</f>
        <v>1484999.98101023</v>
      </c>
      <c r="D11" s="241" t="n">
        <f aca="false">MASTER_ASSUMPTIONS!C22*MASTER_ASSUMPTIONS!C19</f>
        <v>1484999.98101023</v>
      </c>
      <c r="E11" s="241" t="n">
        <f aca="false">MASTER_ASSUMPTIONS!C22*MASTER_ASSUMPTIONS!C19</f>
        <v>1484999.98101023</v>
      </c>
      <c r="F11" s="241" t="n">
        <f aca="false">MASTER_ASSUMPTIONS!C22*MASTER_ASSUMPTIONS!C19</f>
        <v>1484999.98101023</v>
      </c>
    </row>
    <row r="12" customFormat="false" ht="15" hidden="false" customHeight="true" outlineLevel="0" collapsed="false">
      <c r="B12" s="180" t="s">
        <v>939</v>
      </c>
      <c r="C12" s="262" t="n">
        <f aca="false">C9+C10+C11</f>
        <v>15186231.0882751</v>
      </c>
      <c r="D12" s="263" t="n">
        <f aca="false">D9+D10+D11</f>
        <v>17090728.6218553</v>
      </c>
      <c r="E12" s="263" t="n">
        <f aca="false">E9+E10+E11</f>
        <v>18558059.2606837</v>
      </c>
      <c r="F12" s="263" t="n">
        <f aca="false">F9+F10+F11</f>
        <v>19422855.2925259</v>
      </c>
    </row>
    <row r="13" customFormat="false" ht="15" hidden="false" customHeight="true" outlineLevel="0" collapsed="false">
      <c r="B13" s="180" t="s">
        <v>652</v>
      </c>
      <c r="C13" s="264" t="n">
        <f aca="false">C12/MASTER_ASSUMPTIONS!C13</f>
        <v>1.94197328494566</v>
      </c>
      <c r="D13" s="265" t="n">
        <f aca="false">D12/MASTER_ASSUMPTIONS!C13</f>
        <v>2.18551516903521</v>
      </c>
      <c r="E13" s="265" t="n">
        <f aca="false">E12/MASTER_ASSUMPTIONS!C13</f>
        <v>2.3731533581437</v>
      </c>
      <c r="F13" s="265" t="n">
        <f aca="false">F12/MASTER_ASSUMPTIONS!C13</f>
        <v>2.48374108600075</v>
      </c>
    </row>
    <row r="14" customFormat="false" ht="15" hidden="false" customHeight="true" outlineLevel="0" collapsed="false">
      <c r="B14" s="6" t="s">
        <v>940</v>
      </c>
      <c r="C14" s="266" t="n">
        <v>3</v>
      </c>
      <c r="D14" s="267" t="n">
        <v>5</v>
      </c>
      <c r="E14" s="267" t="n">
        <v>7</v>
      </c>
      <c r="F14" s="267" t="n">
        <v>8</v>
      </c>
    </row>
    <row r="15" customFormat="false" ht="15" hidden="false" customHeight="true" outlineLevel="0" collapsed="false">
      <c r="B15" s="180" t="s">
        <v>941</v>
      </c>
      <c r="C15" s="268" t="n">
        <f aca="false">(C13^(1/(C14+0.5)))-1</f>
        <v>0.20880212451708</v>
      </c>
      <c r="D15" s="269" t="n">
        <f aca="false">(D13^(1/(D14+0.5)))-1</f>
        <v>0.152755118113077</v>
      </c>
      <c r="E15" s="269" t="n">
        <f aca="false">(E13^(1/(E14+0.5)))-1</f>
        <v>0.122130690449024</v>
      </c>
      <c r="F15" s="269" t="n">
        <f aca="false">(F13^(1/(F14+0.5)))-1</f>
        <v>0.112969073623823</v>
      </c>
    </row>
    <row r="16" customFormat="false" ht="51" hidden="false" customHeight="true" outlineLevel="0" collapsed="false">
      <c r="B16" s="6" t="s">
        <v>942</v>
      </c>
      <c r="C16" s="248" t="n">
        <f aca="false">(C12-MASTER_ASSUMPTIONS!C13)/MASTER_ASSUMPTIONS!C13</f>
        <v>0.941973284945659</v>
      </c>
      <c r="D16" s="270" t="n">
        <f aca="false">(D12-MASTER_ASSUMPTIONS!C13)/MASTER_ASSUMPTIONS!C13</f>
        <v>1.18551516903521</v>
      </c>
      <c r="E16" s="270" t="n">
        <f aca="false">(E12-MASTER_ASSUMPTIONS!C13)/MASTER_ASSUMPTIONS!C13</f>
        <v>1.3731533581437</v>
      </c>
      <c r="F16" s="270" t="n">
        <f aca="false">(F12-MASTER_ASSUMPTIONS!C13)/MASTER_ASSUMPTIONS!C13</f>
        <v>1.48374108600075</v>
      </c>
    </row>
    <row r="17" customFormat="false" ht="15" hidden="false" customHeight="true" outlineLevel="0" collapsed="false">
      <c r="B17" s="6"/>
      <c r="D17" s="6"/>
      <c r="E17" s="6"/>
      <c r="F17" s="6"/>
    </row>
    <row r="18" customFormat="false" ht="36" hidden="false" customHeight="true" outlineLevel="0" collapsed="false">
      <c r="B18" s="259" t="s">
        <v>943</v>
      </c>
      <c r="C18" s="259"/>
      <c r="D18" s="259"/>
      <c r="E18" s="259"/>
      <c r="F18" s="259"/>
      <c r="G18" s="259"/>
      <c r="H18" s="259"/>
      <c r="I18" s="259"/>
      <c r="J18" s="259"/>
      <c r="K18" s="259"/>
    </row>
    <row r="19" customFormat="false" ht="66" hidden="false" customHeight="true" outlineLevel="0" collapsed="false">
      <c r="B19" s="271" t="s">
        <v>944</v>
      </c>
      <c r="C19" s="271"/>
      <c r="D19" s="271"/>
      <c r="E19" s="271"/>
      <c r="F19" s="271"/>
      <c r="G19" s="271"/>
      <c r="H19" s="271"/>
      <c r="I19" s="271"/>
      <c r="J19" s="271"/>
      <c r="K19" s="271"/>
    </row>
    <row r="20" customFormat="false" ht="15" hidden="false" customHeight="true" outlineLevel="0" collapsed="false">
      <c r="B20" s="260" t="s">
        <v>750</v>
      </c>
      <c r="C20" s="272" t="s">
        <v>760</v>
      </c>
      <c r="D20" s="260" t="s">
        <v>908</v>
      </c>
      <c r="E20" s="260" t="s">
        <v>765</v>
      </c>
      <c r="F20" s="260" t="s">
        <v>770</v>
      </c>
      <c r="G20" s="272" t="s">
        <v>909</v>
      </c>
      <c r="H20" s="272" t="s">
        <v>910</v>
      </c>
      <c r="I20" s="272" t="s">
        <v>911</v>
      </c>
      <c r="J20" s="272" t="s">
        <v>912</v>
      </c>
      <c r="K20" s="272" t="s">
        <v>945</v>
      </c>
    </row>
    <row r="21" customFormat="false" ht="51" hidden="false" customHeight="true" outlineLevel="0" collapsed="false">
      <c r="B21" s="6" t="s">
        <v>946</v>
      </c>
      <c r="C21" s="142" t="n">
        <v>0</v>
      </c>
      <c r="D21" s="241" t="n">
        <f aca="false">0.4*MASTER_ASSUMPTIONS!C15*MAX(0,'Consolidated 8Yr P&amp;L'!D35)</f>
        <v>330524.470482134</v>
      </c>
      <c r="E21" s="241" t="n">
        <f aca="false">0.4*MASTER_ASSUMPTIONS!C15*MAX(0,'Consolidated 8Yr P&amp;L'!E35)</f>
        <v>388683.332464613</v>
      </c>
      <c r="F21" s="241" t="n">
        <f aca="false">0.4*MASTER_ASSUMPTIONS!C15*MAX(0,'Consolidated 8Yr P&amp;L'!F35)</f>
        <v>379105.094278847</v>
      </c>
      <c r="G21" s="142" t="n">
        <f aca="false">0.4*MASTER_ASSUMPTIONS!C15*MAX(0,'Consolidated 8Yr P&amp;L'!G35)</f>
        <v>421727.201849404</v>
      </c>
      <c r="H21" s="142" t="n">
        <f aca="false">0.4*MASTER_ASSUMPTIONS!C15*MAX(0,'Consolidated 8Yr P&amp;L'!H35)</f>
        <v>428297.811982799</v>
      </c>
      <c r="I21" s="142" t="n">
        <f aca="false">0.4*MASTER_ASSUMPTIONS!C15*MAX(0,'Consolidated 8Yr P&amp;L'!I35)</f>
        <v>439672.132808596</v>
      </c>
      <c r="J21" s="142" t="n">
        <f aca="false">0.4*MASTER_ASSUMPTIONS!C15*MAX(0,'Consolidated 8Yr P&amp;L'!J35)</f>
        <v>452030.385687478</v>
      </c>
    </row>
    <row r="22" customFormat="false" ht="45.75" hidden="false" customHeight="true" outlineLevel="0" collapsed="false">
      <c r="B22" s="180" t="s">
        <v>947</v>
      </c>
      <c r="C22" s="273" t="n">
        <f aca="false">((C21+MASTER_ASSUMPTIONS!C22*MASTER_ASSUMPTIONS!C19)/MASTER_ASSUMPTIONS!C13)^(1/1.5)-1</f>
        <v>-0.669620470748781</v>
      </c>
      <c r="D22" s="274" t="n">
        <f aca="false">((C21+D21+MASTER_ASSUMPTIONS!C22*MASTER_ASSUMPTIONS!C19+(MASTER_ASSUMPTIONS!C15-MASTER_ASSUMPTIONS!C22)*'Consolidated 8Yr P&amp;L'!D35*MASTER_ASSUMPTIONS!C27)/MASTER_ASSUMPTIONS!C13)^(1/2.5)-1</f>
        <v>0.219963102033335</v>
      </c>
      <c r="E22" s="274" t="n">
        <f aca="false">((C21+D21+E21+MASTER_ASSUMPTIONS!C22*MASTER_ASSUMPTIONS!C19+(MASTER_ASSUMPTIONS!C15-MASTER_ASSUMPTIONS!C22)*'Consolidated 8Yr P&amp;L'!E35*MASTER_ASSUMPTIONS!C27)/MASTER_ASSUMPTIONS!C13)^(1/3.5)-1</f>
        <v>0.20880212451708</v>
      </c>
      <c r="F22" s="274" t="n">
        <f aca="false">((C21+D21+E21+F21+MASTER_ASSUMPTIONS!C22*MASTER_ASSUMPTIONS!C19+(MASTER_ASSUMPTIONS!C15-MASTER_ASSUMPTIONS!C22)*'Consolidated 8Yr P&amp;L'!F35*MASTER_ASSUMPTIONS!C27)/MASTER_ASSUMPTIONS!C13)^(1/4.5)-1</f>
        <v>0.159923893878211</v>
      </c>
      <c r="G22" s="273" t="n">
        <f aca="false">((C21+D21+E21+F21+G21+MASTER_ASSUMPTIONS!C22*MASTER_ASSUMPTIONS!C19+(MASTER_ASSUMPTIONS!C15-MASTER_ASSUMPTIONS!C22)*'Consolidated 8Yr P&amp;L'!G35*MASTER_ASSUMPTIONS!C27)/MASTER_ASSUMPTIONS!C13)^(1/5.5)-1</f>
        <v>0.152755118113077</v>
      </c>
      <c r="H22" s="273" t="n">
        <f aca="false">((C21+D21+E21+F21+G21+H21+MASTER_ASSUMPTIONS!C22*MASTER_ASSUMPTIONS!C19+(MASTER_ASSUMPTIONS!C15-MASTER_ASSUMPTIONS!C22)*'Consolidated 8Yr P&amp;L'!H35*MASTER_ASSUMPTIONS!C27)/MASTER_ASSUMPTIONS!C13)^(1/6.5)-1</f>
        <v>0.134291243950042</v>
      </c>
      <c r="I22" s="273" t="n">
        <f aca="false">((C21+D21+E21+F21+G21+H21+I21+MASTER_ASSUMPTIONS!C22*MASTER_ASSUMPTIONS!C19+(MASTER_ASSUMPTIONS!C15-MASTER_ASSUMPTIONS!C22)*'Consolidated 8Yr P&amp;L'!I35*MASTER_ASSUMPTIONS!C27)/MASTER_ASSUMPTIONS!C13)^(1/7.5)-1</f>
        <v>0.122130690449024</v>
      </c>
      <c r="J22" s="273" t="n">
        <f aca="false">((C21+D21+E21+F21+G21+H21+I21+J21+MASTER_ASSUMPTIONS!C22*MASTER_ASSUMPTIONS!C19+(MASTER_ASSUMPTIONS!C15-MASTER_ASSUMPTIONS!C22)*'Consolidated 8Yr P&amp;L'!J35*MASTER_ASSUMPTIONS!C27)/MASTER_ASSUMPTIONS!C13)^(1/8.5)-1</f>
        <v>0.112969073623823</v>
      </c>
      <c r="K22" s="273" t="n">
        <f aca="false">AVERAGE(C22:J22)</f>
        <v>0.0551518469769764</v>
      </c>
    </row>
    <row r="23" customFormat="false" ht="15" hidden="false" customHeight="true" outlineLevel="0" collapsed="false">
      <c r="B23" s="6" t="s">
        <v>948</v>
      </c>
      <c r="C23" s="275" t="n">
        <f aca="false">AVERAGE(E22:I22)</f>
        <v>0.155580614181487</v>
      </c>
      <c r="D23" s="6" t="s">
        <v>949</v>
      </c>
      <c r="E23" s="276" t="n">
        <f aca="false">AVERAGE(C22:J22)</f>
        <v>0.0551518469769764</v>
      </c>
      <c r="F23" s="6" t="s">
        <v>950</v>
      </c>
      <c r="K23" s="185" t="n">
        <f aca="false">AVERAGE(E22:I22)</f>
        <v>0.155580614181487</v>
      </c>
    </row>
    <row r="24" customFormat="false" ht="15" hidden="false" customHeight="true" outlineLevel="0" collapsed="false">
      <c r="B24" s="6"/>
      <c r="D24" s="6"/>
      <c r="E24" s="6"/>
      <c r="F24" s="6"/>
    </row>
    <row r="25" customFormat="false" ht="15" hidden="false" customHeight="true" outlineLevel="0" collapsed="false">
      <c r="B25" s="259" t="s">
        <v>951</v>
      </c>
      <c r="C25" s="259"/>
      <c r="D25" s="259"/>
      <c r="E25" s="259"/>
      <c r="F25" s="259"/>
      <c r="G25" s="259"/>
      <c r="H25" s="259"/>
      <c r="I25" s="259"/>
    </row>
    <row r="26" customFormat="false" ht="15" hidden="false" customHeight="true" outlineLevel="0" collapsed="false">
      <c r="B26" s="6"/>
      <c r="D26" s="6"/>
      <c r="E26" s="6"/>
      <c r="F26" s="6"/>
    </row>
    <row r="27" customFormat="false" ht="15" hidden="false" customHeight="true" outlineLevel="0" collapsed="false">
      <c r="B27" s="277" t="s">
        <v>952</v>
      </c>
      <c r="C27" s="278" t="s">
        <v>953</v>
      </c>
      <c r="D27" s="277" t="s">
        <v>954</v>
      </c>
      <c r="E27" s="6"/>
      <c r="F27" s="6"/>
    </row>
    <row r="28" customFormat="false" ht="81" hidden="false" customHeight="true" outlineLevel="0" collapsed="false">
      <c r="B28" s="6" t="s">
        <v>955</v>
      </c>
      <c r="C28" s="177" t="n">
        <v>0.1</v>
      </c>
      <c r="D28" s="279" t="n">
        <f aca="false">NPV(C28,'NPV Sensitivity'!C18:L18)+('NPV Sensitivity'!L18*(1+0.02)/(C28-0.02))/(1+C28)^10+'NPV Sensitivity'!C26</f>
        <v>374038.699233159</v>
      </c>
      <c r="E28" s="6"/>
      <c r="F28" s="6"/>
    </row>
    <row r="29" customFormat="false" ht="81" hidden="false" customHeight="true" outlineLevel="0" collapsed="false">
      <c r="B29" s="6" t="s">
        <v>956</v>
      </c>
      <c r="C29" s="177" t="n">
        <v>0.125</v>
      </c>
      <c r="D29" s="280" t="n">
        <f aca="false">NPV(C29,'NPV Sensitivity'!C18:L18)+('NPV Sensitivity'!L18*(1+0.02)/(C29-0.02))/(1+C29)^10+'NPV Sensitivity'!C26</f>
        <v>-4321778.55734169</v>
      </c>
      <c r="E29" s="6"/>
      <c r="F29" s="6"/>
    </row>
    <row r="30" customFormat="false" ht="81" hidden="false" customHeight="true" outlineLevel="0" collapsed="false">
      <c r="B30" s="6" t="s">
        <v>957</v>
      </c>
      <c r="C30" s="177" t="n">
        <v>0.15</v>
      </c>
      <c r="D30" s="279" t="n">
        <f aca="false">NPV(C30,'NPV Sensitivity'!C18:L18)+('NPV Sensitivity'!L18*(1+0.02)/(C30-0.02))/(1+C30)^10+'NPV Sensitivity'!C26</f>
        <v>-7218915.09215479</v>
      </c>
      <c r="E30" s="6"/>
      <c r="F30" s="6"/>
    </row>
    <row r="31" customFormat="false" ht="15" hidden="false" customHeight="true" outlineLevel="0" collapsed="false">
      <c r="B31" s="6"/>
      <c r="D31" s="6"/>
      <c r="E31" s="6"/>
      <c r="F31" s="6"/>
    </row>
    <row r="32" customFormat="false" ht="33.75" hidden="false" customHeight="true" outlineLevel="0" collapsed="false">
      <c r="B32" s="6" t="s">
        <v>958</v>
      </c>
      <c r="C32" s="281" t="n">
        <f aca="false">CapEx!E55/(AVERAGE('Consolidated 8Yr P&amp;L'!D35:I35))</f>
        <v>8.63363191847047</v>
      </c>
      <c r="D32" s="6"/>
      <c r="E32" s="6"/>
      <c r="F32" s="6"/>
    </row>
    <row r="33" customFormat="false" ht="33.75" hidden="false" customHeight="true" outlineLevel="0" collapsed="false">
      <c r="B33" s="6" t="s">
        <v>959</v>
      </c>
      <c r="C33" s="282" t="n">
        <f aca="false">MASTER_ASSUMPTIONS!C13/(AVERAGE('Consolidated 8Yr P&amp;L'!D35:I35)*MASTER_ASSUMPTIONS!C15)</f>
        <v>7.85926342655285</v>
      </c>
      <c r="D33" s="6"/>
      <c r="E33" s="6"/>
      <c r="F33" s="6"/>
    </row>
    <row r="34" customFormat="false" ht="15" hidden="false" customHeight="true" outlineLevel="0" collapsed="false">
      <c r="B34" s="6" t="s">
        <v>960</v>
      </c>
      <c r="C34" s="177" t="n">
        <f aca="false">0.4*MASTER_ASSUMPTIONS!C15*'Consolidated 8Yr P&amp;L'!F35/MASTER_ASSUMPTIONS!C13</f>
        <v>0.048478912311873</v>
      </c>
      <c r="D34" s="6"/>
      <c r="E34" s="6"/>
      <c r="F34" s="6"/>
    </row>
    <row r="35" customFormat="false" ht="15" hidden="false" customHeight="true" outlineLevel="0" collapsed="false">
      <c r="B35" s="6"/>
      <c r="D35" s="6"/>
      <c r="E35" s="6"/>
      <c r="F35" s="6"/>
    </row>
    <row r="36" customFormat="false" ht="36" hidden="false" customHeight="true" outlineLevel="0" collapsed="false">
      <c r="B36" s="259" t="s">
        <v>961</v>
      </c>
      <c r="C36" s="259"/>
      <c r="D36" s="259"/>
      <c r="E36" s="259"/>
      <c r="F36" s="259"/>
      <c r="G36" s="259"/>
      <c r="H36" s="259"/>
      <c r="I36" s="259"/>
    </row>
    <row r="37" customFormat="false" ht="15" hidden="false" customHeight="true" outlineLevel="0" collapsed="false">
      <c r="B37" s="6"/>
      <c r="D37" s="6"/>
      <c r="E37" s="6"/>
      <c r="F37" s="6"/>
    </row>
    <row r="38" customFormat="false" ht="15" hidden="false" customHeight="true" outlineLevel="0" collapsed="false">
      <c r="B38" s="277" t="s">
        <v>738</v>
      </c>
      <c r="C38" s="278" t="s">
        <v>962</v>
      </c>
      <c r="D38" s="277" t="s">
        <v>963</v>
      </c>
      <c r="E38" s="277" t="s">
        <v>964</v>
      </c>
      <c r="F38" s="6"/>
    </row>
    <row r="39" customFormat="false" ht="15" hidden="false" customHeight="true" outlineLevel="0" collapsed="false">
      <c r="B39" s="6" t="s">
        <v>965</v>
      </c>
      <c r="C39" s="283" t="n">
        <f aca="false">MASTER_ASSUMPTIONS!C49</f>
        <v>0.15</v>
      </c>
      <c r="D39" s="284" t="n">
        <f aca="false">'Probability Scenarios'!C31</f>
        <v>1.30553642745271</v>
      </c>
      <c r="E39" s="285" t="n">
        <f aca="false">(D39^(1/7.5))-1</f>
        <v>0.0361879381971815</v>
      </c>
      <c r="F39" s="6"/>
    </row>
    <row r="40" customFormat="false" ht="15" hidden="false" customHeight="true" outlineLevel="0" collapsed="false">
      <c r="B40" s="6" t="s">
        <v>966</v>
      </c>
      <c r="C40" s="283" t="n">
        <f aca="false">MASTER_ASSUMPTIONS!C50</f>
        <v>0.7</v>
      </c>
      <c r="D40" s="265" t="n">
        <f aca="false">'Probability Scenarios'!D31</f>
        <v>1.94642341319822</v>
      </c>
      <c r="E40" s="269" t="n">
        <f aca="false">(D40^(1/7.5))-1</f>
        <v>0.0928611209397181</v>
      </c>
      <c r="F40" s="6"/>
    </row>
    <row r="41" customFormat="false" ht="15" hidden="false" customHeight="true" outlineLevel="0" collapsed="false">
      <c r="B41" s="6" t="s">
        <v>967</v>
      </c>
      <c r="C41" s="283" t="n">
        <f aca="false">MASTER_ASSUMPTIONS!C51</f>
        <v>0.15</v>
      </c>
      <c r="D41" s="284" t="n">
        <f aca="false">'Probability Scenarios'!E31</f>
        <v>2.77345794485204</v>
      </c>
      <c r="E41" s="285" t="n">
        <f aca="false">(D41^(1/7.5))-1</f>
        <v>0.145696389952765</v>
      </c>
      <c r="F41" s="6"/>
    </row>
    <row r="42" customFormat="false" ht="15" hidden="false" customHeight="true" outlineLevel="0" collapsed="false">
      <c r="B42" s="6"/>
      <c r="D42" s="6"/>
      <c r="E42" s="6"/>
      <c r="F42" s="6"/>
    </row>
    <row r="43" customFormat="false" ht="15" hidden="false" customHeight="true" outlineLevel="0" collapsed="false">
      <c r="B43" s="180" t="s">
        <v>968</v>
      </c>
      <c r="C43" s="283" t="n">
        <f aca="false">C39+C40+C41</f>
        <v>1</v>
      </c>
      <c r="D43" s="265" t="n">
        <f aca="false">C39*D39+C40*D40+C41*D41</f>
        <v>1.97434554508447</v>
      </c>
      <c r="E43" s="269" t="n">
        <f aca="false">(D43^(1/7.5))-1</f>
        <v>0.0949385721277456</v>
      </c>
      <c r="F43" s="6"/>
    </row>
    <row r="44" customFormat="false" ht="15" hidden="false" customHeight="true" outlineLevel="0" collapsed="false">
      <c r="B44" s="6"/>
      <c r="D44" s="6"/>
      <c r="E44" s="6"/>
      <c r="F44" s="6"/>
    </row>
    <row r="45" customFormat="false" ht="81" hidden="false" customHeight="true" outlineLevel="0" collapsed="false">
      <c r="B45" s="271" t="s">
        <v>969</v>
      </c>
      <c r="C45" s="271"/>
      <c r="D45" s="271"/>
      <c r="E45" s="271"/>
      <c r="F45" s="271"/>
      <c r="G45" s="271"/>
      <c r="H45" s="271"/>
      <c r="I45" s="271"/>
    </row>
    <row r="46" customFormat="false" ht="15" hidden="false" customHeight="true" outlineLevel="0" collapsed="false">
      <c r="B46" s="6"/>
      <c r="D46" s="6"/>
      <c r="E46" s="6"/>
      <c r="F46" s="6"/>
    </row>
    <row r="47" customFormat="false" ht="15" hidden="false" customHeight="true" outlineLevel="0" collapsed="false">
      <c r="B47" s="286" t="s">
        <v>970</v>
      </c>
      <c r="C47" s="286"/>
      <c r="D47" s="286"/>
      <c r="E47" s="286"/>
      <c r="F47" s="286"/>
      <c r="G47" s="286"/>
      <c r="H47" s="286"/>
      <c r="I47" s="286"/>
    </row>
    <row r="48" customFormat="false" ht="15" hidden="false" customHeight="true" outlineLevel="0" collapsed="false">
      <c r="B48" s="6"/>
      <c r="D48" s="6"/>
      <c r="E48" s="6"/>
      <c r="F48" s="6"/>
    </row>
    <row r="49" customFormat="false" ht="15" hidden="false" customHeight="true" outlineLevel="0" collapsed="false">
      <c r="B49" s="287" t="s">
        <v>971</v>
      </c>
      <c r="D49" s="287" t="s">
        <v>972</v>
      </c>
      <c r="E49" s="6"/>
      <c r="F49" s="287" t="s">
        <v>973</v>
      </c>
      <c r="H49" s="288" t="s">
        <v>974</v>
      </c>
    </row>
    <row r="50" customFormat="false" ht="17.25" hidden="false" customHeight="true" outlineLevel="0" collapsed="false">
      <c r="B50" s="289" t="n">
        <f aca="false">MASTER_ASSUMPTIONS!C13</f>
        <v>7820000</v>
      </c>
      <c r="D50" s="290" t="n">
        <f aca="false">MASTER_ASSUMPTIONS!C15</f>
        <v>0.449999994245524</v>
      </c>
      <c r="E50" s="6"/>
      <c r="F50" s="289" t="n">
        <f aca="false">MASTER_ASSUMPTIONS!C14</f>
        <v>17377778</v>
      </c>
      <c r="H50" s="291" t="n">
        <f aca="false">MASTER_ASSUMPTIONS!C27</f>
        <v>16</v>
      </c>
    </row>
    <row r="51" customFormat="false" ht="15" hidden="false" customHeight="true" outlineLevel="0" collapsed="false">
      <c r="B51" s="6"/>
      <c r="D51" s="6"/>
      <c r="E51" s="6"/>
      <c r="F51" s="6"/>
    </row>
    <row r="52" customFormat="false" ht="15" hidden="false" customHeight="true" outlineLevel="0" collapsed="false">
      <c r="B52" s="287" t="s">
        <v>138</v>
      </c>
      <c r="D52" s="287" t="s">
        <v>893</v>
      </c>
      <c r="E52" s="6"/>
      <c r="F52" s="287" t="s">
        <v>975</v>
      </c>
      <c r="H52" s="288" t="s">
        <v>976</v>
      </c>
    </row>
    <row r="53" customFormat="false" ht="17.25" hidden="false" customHeight="true" outlineLevel="0" collapsed="false">
      <c r="B53" s="289" t="n">
        <f aca="false">'Master OpEx'!D30</f>
        <v>2261172.256525</v>
      </c>
      <c r="D53" s="290" t="n">
        <f aca="false">'Master OpEx'!D31</f>
        <v>0.338903589599894</v>
      </c>
      <c r="E53" s="6"/>
      <c r="F53" s="289" t="n">
        <f aca="false">MASTER_ASSUMPTIONS!C26</f>
        <v>34549629.9942212</v>
      </c>
      <c r="H53" s="292" t="s">
        <v>19</v>
      </c>
    </row>
    <row r="54" customFormat="false" ht="15" hidden="false" customHeight="true" outlineLevel="0" collapsed="false">
      <c r="B54" s="6"/>
      <c r="D54" s="6"/>
      <c r="E54" s="6"/>
      <c r="F54" s="6"/>
    </row>
    <row r="55" customFormat="false" ht="15" hidden="false" customHeight="true" outlineLevel="0" collapsed="false">
      <c r="B55" s="287" t="s">
        <v>977</v>
      </c>
      <c r="D55" s="287" t="s">
        <v>978</v>
      </c>
      <c r="E55" s="6"/>
      <c r="F55" s="287" t="s">
        <v>979</v>
      </c>
      <c r="H55" s="288" t="s">
        <v>980</v>
      </c>
    </row>
    <row r="56" customFormat="false" ht="17.25" hidden="false" customHeight="true" outlineLevel="0" collapsed="false">
      <c r="B56" s="293" t="n">
        <f aca="false">C13</f>
        <v>1.94197328494566</v>
      </c>
      <c r="D56" s="294" t="n">
        <f aca="false">C15</f>
        <v>0.20880212451708</v>
      </c>
      <c r="E56" s="6"/>
      <c r="F56" s="293" t="n">
        <f aca="false">E13</f>
        <v>2.3731533581437</v>
      </c>
      <c r="H56" s="295" t="n">
        <f aca="false">E15</f>
        <v>0.122130690449024</v>
      </c>
    </row>
    <row r="57" customFormat="false" ht="15" hidden="false" customHeight="true" outlineLevel="0" collapsed="false">
      <c r="B57" s="6"/>
      <c r="D57" s="6"/>
      <c r="E57" s="6"/>
      <c r="F57" s="6"/>
    </row>
    <row r="58" customFormat="false" ht="15" hidden="false" customHeight="true" outlineLevel="0" collapsed="false">
      <c r="B58" s="287" t="s">
        <v>981</v>
      </c>
      <c r="D58" s="287" t="s">
        <v>982</v>
      </c>
      <c r="E58" s="6"/>
      <c r="F58" s="287" t="s">
        <v>983</v>
      </c>
      <c r="H58" s="288" t="s">
        <v>984</v>
      </c>
    </row>
    <row r="59" customFormat="false" ht="17.25" hidden="false" customHeight="true" outlineLevel="0" collapsed="false">
      <c r="B59" s="296" t="n">
        <f aca="false">D29</f>
        <v>-4321778.55734169</v>
      </c>
      <c r="D59" s="293" t="n">
        <f aca="false">CAPITAL_EFFICIENCY!C30</f>
        <v>3.61636828644501</v>
      </c>
      <c r="E59" s="6"/>
      <c r="F59" s="290" t="n">
        <f aca="false">CAPITAL_EFFICIENCY!C32</f>
        <v>0.276520509193777</v>
      </c>
      <c r="H59" s="297" t="n">
        <f aca="false">D43</f>
        <v>1.97434554508447</v>
      </c>
    </row>
    <row r="60" customFormat="false" ht="15" hidden="false" customHeight="true" outlineLevel="0" collapsed="false">
      <c r="B60" s="6"/>
      <c r="D60" s="6"/>
      <c r="E60" s="6"/>
      <c r="F60" s="6"/>
    </row>
    <row r="61" customFormat="false" ht="15" hidden="false" customHeight="true" outlineLevel="0" collapsed="false">
      <c r="B61" s="6"/>
      <c r="D61" s="6"/>
      <c r="E61" s="6"/>
      <c r="F61" s="6"/>
    </row>
    <row r="62" customFormat="false" ht="15" hidden="false" customHeight="true" outlineLevel="0" collapsed="false">
      <c r="B62" s="180" t="s">
        <v>985</v>
      </c>
      <c r="D62" s="6"/>
      <c r="E62" s="6"/>
      <c r="F62" s="6"/>
    </row>
    <row r="63" customFormat="false" ht="15" hidden="false" customHeight="true" outlineLevel="0" collapsed="false">
      <c r="B63" s="6"/>
      <c r="D63" s="6"/>
      <c r="E63" s="6"/>
      <c r="F63" s="6"/>
    </row>
    <row r="64" customFormat="false" ht="36" hidden="false" customHeight="true" outlineLevel="0" collapsed="false">
      <c r="B64" s="271" t="s">
        <v>986</v>
      </c>
      <c r="C64" s="271"/>
      <c r="D64" s="271"/>
      <c r="E64" s="271"/>
      <c r="F64" s="271"/>
      <c r="G64" s="271"/>
      <c r="H64" s="271"/>
      <c r="I64" s="271"/>
    </row>
    <row r="65" customFormat="false" ht="51" hidden="false" customHeight="true" outlineLevel="0" collapsed="false">
      <c r="B65" s="271" t="s">
        <v>987</v>
      </c>
      <c r="C65" s="271"/>
      <c r="D65" s="271"/>
      <c r="E65" s="271"/>
      <c r="F65" s="271"/>
      <c r="G65" s="271"/>
      <c r="H65" s="271"/>
      <c r="I65" s="271"/>
    </row>
    <row r="66" customFormat="false" ht="51" hidden="false" customHeight="true" outlineLevel="0" collapsed="false">
      <c r="B66" s="271" t="s">
        <v>988</v>
      </c>
      <c r="C66" s="271"/>
      <c r="D66" s="271"/>
      <c r="E66" s="271"/>
      <c r="F66" s="271"/>
      <c r="G66" s="271"/>
      <c r="H66" s="271"/>
      <c r="I66" s="271"/>
    </row>
    <row r="67" customFormat="false" ht="36" hidden="false" customHeight="true" outlineLevel="0" collapsed="false">
      <c r="B67" s="271" t="s">
        <v>989</v>
      </c>
      <c r="C67" s="271"/>
      <c r="D67" s="271"/>
      <c r="E67" s="271"/>
      <c r="F67" s="271"/>
      <c r="G67" s="271"/>
      <c r="H67" s="271"/>
      <c r="I67" s="271"/>
    </row>
    <row r="68" customFormat="false" ht="51" hidden="false" customHeight="true" outlineLevel="0" collapsed="false">
      <c r="B68" s="271" t="s">
        <v>990</v>
      </c>
      <c r="C68" s="271"/>
      <c r="D68" s="271"/>
      <c r="E68" s="271"/>
      <c r="F68" s="271"/>
      <c r="G68" s="271"/>
      <c r="H68" s="271"/>
      <c r="I68" s="271"/>
    </row>
    <row r="69" customFormat="false" ht="66" hidden="false" customHeight="true" outlineLevel="0" collapsed="false">
      <c r="B69" s="271" t="s">
        <v>991</v>
      </c>
      <c r="C69" s="271"/>
      <c r="D69" s="271"/>
      <c r="E69" s="271"/>
      <c r="F69" s="271"/>
      <c r="G69" s="271"/>
      <c r="H69" s="271"/>
      <c r="I69" s="271"/>
    </row>
    <row r="70" customFormat="false" ht="66" hidden="false" customHeight="true" outlineLevel="0" collapsed="false">
      <c r="B70" s="271" t="s">
        <v>992</v>
      </c>
      <c r="C70" s="271"/>
      <c r="D70" s="271"/>
      <c r="E70" s="271"/>
      <c r="F70" s="271"/>
      <c r="G70" s="271"/>
      <c r="H70" s="271"/>
      <c r="I70" s="271"/>
    </row>
  </sheetData>
  <mergeCells count="16">
    <mergeCell ref="B2:I2"/>
    <mergeCell ref="B3:I3"/>
    <mergeCell ref="B5:I5"/>
    <mergeCell ref="B18:K18"/>
    <mergeCell ref="B19:K19"/>
    <mergeCell ref="B25:I25"/>
    <mergeCell ref="B36:I36"/>
    <mergeCell ref="B45:I45"/>
    <mergeCell ref="B47:I47"/>
    <mergeCell ref="B64:I64"/>
    <mergeCell ref="B65:I65"/>
    <mergeCell ref="B66:I66"/>
    <mergeCell ref="B67:I67"/>
    <mergeCell ref="B68:I68"/>
    <mergeCell ref="B69:I69"/>
    <mergeCell ref="B70:I7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6082</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5392</v>
      </c>
      <c r="C8" s="360" t="n">
        <f aca="false">(MIN((('Academy · Drivers'!C42+'Academy · Drivers'!C46)*'Academy · Drivers'!D12*'Academy · Drivers'!D13*'Academy · Drivers'!D7*UNIVERSAL_DRIVERS!$C$33),('Academy · Drivers'!C52/12*'Academy · Drivers'!D8*'Academy · Drivers'!C55))/'Academy · Drivers'!C55)*('Academy · Drivers'!D10*(1-'Academy · Drivers'!C87)+'Academy · Drivers'!D88*'Academy · Drivers'!C87)*12+(MIN((('Academy · Drivers'!C42+'Academy · Drivers'!C46)*'Academy · Drivers'!D12*'Academy · Drivers'!D13*'Academy · Drivers'!D7*UNIVERSAL_DRIVERS!$C$33),('Academy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Drivers'!D7*UNIVERSAL_DRIVERS!$C$33),('Academy · Drivers'!C52/12*'Academy · Drivers'!D8*'Academy · Drivers'!C55))/'Academy · Drivers'!C55)*0.5*'Academy · Drivers'!D13*2*12</f>
        <v>1386420</v>
      </c>
      <c r="D8" s="1280" t="n">
        <f aca="false">(MIN((('Academy · Drivers'!C42+'Academy · Drivers'!C46)*'Academy · Drivers'!D12*'Academy · Drivers'!D13*'Academy · Drivers'!D7*UNIVERSAL_DRIVERS!$C$34),('Academy · Drivers'!C52/12*'Academy · Drivers'!D8*'Academy · Drivers'!C55))/'Academy · Drivers'!C55)*('Academy · Drivers'!D10*(1-'Academy · Drivers'!C87)+'Academy · Drivers'!D88*'Academy · Drivers'!C87)*12+(MIN((('Academy · Drivers'!C42+'Academy · Drivers'!C46)*'Academy · Drivers'!D12*'Academy · Drivers'!D13*'Academy · Drivers'!D7*UNIVERSAL_DRIVERS!$C$34),('Academy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Drivers'!D7*UNIVERSAL_DRIVERS!$C$34),('Academy · Drivers'!C52/12*'Academy · Drivers'!D8*'Academy · Drivers'!C55))/'Academy · Drivers'!C55)*0.5*'Academy · Drivers'!D13*2*12</f>
        <v>1386420</v>
      </c>
      <c r="E8" s="1319" t="n">
        <f aca="false">(MIN((('Academy · Drivers'!C42+'Academy · Drivers'!C46)*'Academy · Drivers'!D12*'Academy · Drivers'!D13*'Academy · Drivers'!D7*1),('Academy · Drivers'!C52/12*'Academy · Drivers'!D8*'Academy · Drivers'!C55))/'Academy · Drivers'!C55)*('Academy · Drivers'!D10*(1-'Academy · Drivers'!C87)+'Academy · Drivers'!D88*'Academy · Drivers'!C87)*12+(MIN((('Academy · Drivers'!C42+'Academy · Drivers'!C46)*'Academy · Drivers'!D12*'Academy · Drivers'!D13*'Academy · Drivers'!D7*1),('Academy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Drivers'!D7*1),('Academy · Drivers'!C52/12*'Academy · Drivers'!D8*'Academy · Drivers'!C55))/'Academy · Drivers'!C55)*0.5*'Academy · Drivers'!D13*2*12</f>
        <v>1386420</v>
      </c>
      <c r="F8" s="1320" t="n">
        <f aca="false">(MIN((('Academy · Drivers'!C42+'Academy · Drivers'!C46)*'Academy · Drivers'!D12*'Academy · Drivers'!D13*'Academy · Drivers'!D7*1.1),('Academy · Drivers'!C52/12*'Academy · Drivers'!D8*'Academy · Drivers'!C55))/'Academy · Drivers'!C55)*('Academy · Drivers'!D10*(1-'Academy · Drivers'!C87)+'Academy · Drivers'!D88*'Academy · Drivers'!C87)*12+(MIN((('Academy · Drivers'!C42+'Academy · Drivers'!C46)*'Academy · Drivers'!D12*'Academy · Drivers'!D13*'Academy · Drivers'!D7*1.1),('Academy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Drivers'!D7*1.1),('Academy · Drivers'!C52/12*'Academy · Drivers'!D8*'Academy · Drivers'!C55))/'Academy · Drivers'!C55)*0.5*'Academy · Drivers'!D13*2*12</f>
        <v>1386420</v>
      </c>
      <c r="G8" s="1321" t="n">
        <f aca="false">(MIN((('Academy · Drivers'!C42+'Academy · Drivers'!C46)*'Academy · Drivers'!D12*'Academy · Drivers'!D13*'Academy · Drivers'!D7*1.2),('Academy · Drivers'!C52/12*'Academy · Drivers'!D8*'Academy · Drivers'!C55))/'Academy · Drivers'!C55)*('Academy · Drivers'!D10*(1-'Academy · Drivers'!C87)+'Academy · Drivers'!D88*'Academy · Drivers'!C87)*12+(MIN((('Academy · Drivers'!C42+'Academy · Drivers'!C46)*'Academy · Drivers'!D12*'Academy · Drivers'!D13*'Academy · Drivers'!D7*1.2),('Academy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Drivers'!D7*1.2),('Academy · Drivers'!C52/12*'Academy · Drivers'!D8*'Academy · Drivers'!C55))/'Academy · Drivers'!C55)*0.5*'Academy · Drivers'!D13*2*12</f>
        <v>1386420</v>
      </c>
    </row>
    <row r="9" customFormat="false" ht="120" hidden="false" customHeight="true" outlineLevel="0" collapsed="false">
      <c r="B9" s="113" t="s">
        <v>6083</v>
      </c>
      <c r="C9" s="360" t="n">
        <f aca="false">(MIN((('Academy · Drivers'!C42+'Academy · Drivers'!C46)*'Academy · Drivers'!D12*'Academy · Drivers'!D13*'Academy · Drivers'!D7),('Academy · Drivers'!C52/12*'Academy · Drivers'!D8*UNIVERSAL_DRIVERS!$C$33*'Academy · Drivers'!C55))/'Academy · Drivers'!C55)*('Academy · Drivers'!D10*(1-'Academy · Drivers'!C87)+'Academy · Drivers'!D88*'Academy · Drivers'!C87)*12+(MIN((('Academy · Drivers'!C42+'Academy · Drivers'!C46)*'Academy · Drivers'!D12*'Academy · Drivers'!D13*'Academy · Drivers'!D7),('Academy · Drivers'!C52/12*'Academy · Drivers'!D8*UNIVERSAL_DRIVERS!$C$33*'Academy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Drivers'!D8*UNIVERSAL_DRIVERS!$C$33*'Academy · Drivers'!C55))/'Academy · Drivers'!C55)*0.5*'Academy · Drivers'!D13*2*12</f>
        <v>1305456</v>
      </c>
      <c r="D9" s="1280" t="n">
        <f aca="false">(MIN((('Academy · Drivers'!C42+'Academy · Drivers'!C46)*'Academy · Drivers'!D12*'Academy · Drivers'!D13*'Academy · Drivers'!D7),('Academy · Drivers'!C52/12*'Academy · Drivers'!D8*UNIVERSAL_DRIVERS!$C$34*'Academy · Drivers'!C55))/'Academy · Drivers'!C55)*('Academy · Drivers'!D10*(1-'Academy · Drivers'!C87)+'Academy · Drivers'!D88*'Academy · Drivers'!C87)*12+(MIN((('Academy · Drivers'!C42+'Academy · Drivers'!C46)*'Academy · Drivers'!D12*'Academy · Drivers'!D13*'Academy · Drivers'!D7),('Academy · Drivers'!C52/12*'Academy · Drivers'!D8*UNIVERSAL_DRIVERS!$C$34*'Academy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Drivers'!D8*UNIVERSAL_DRIVERS!$C$34*'Academy · Drivers'!C55))/'Academy · Drivers'!C55)*0.5*'Academy · Drivers'!D13*2*12</f>
        <v>1345938</v>
      </c>
      <c r="E9" s="1319" t="n">
        <f aca="false">(MIN((('Academy · Drivers'!C42+'Academy · Drivers'!C46)*'Academy · Drivers'!D12*'Academy · Drivers'!D13*'Academy · Drivers'!D7),('Academy · Drivers'!C52/12*'Academy · Drivers'!D8*1*'Academy · Drivers'!C55))/'Academy · Drivers'!C55)*('Academy · Drivers'!D10*(1-'Academy · Drivers'!C87)+'Academy · Drivers'!D88*'Academy · Drivers'!C87)*12+(MIN((('Academy · Drivers'!C42+'Academy · Drivers'!C46)*'Academy · Drivers'!D12*'Academy · Drivers'!D13*'Academy · Drivers'!D7),('Academy · Drivers'!C52/12*'Academy · Drivers'!D8*1*'Academy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Drivers'!D8*1*'Academy · Drivers'!C55))/'Academy · Drivers'!C55)*0.5*'Academy · Drivers'!D13*2*12</f>
        <v>1386420</v>
      </c>
      <c r="F9" s="1320" t="n">
        <f aca="false">(MIN((('Academy · Drivers'!C42+'Academy · Drivers'!C46)*'Academy · Drivers'!D12*'Academy · Drivers'!D13*'Academy · Drivers'!D7),('Academy · Drivers'!C52/12*'Academy · Drivers'!D8*1.1*'Academy · Drivers'!C55))/'Academy · Drivers'!C55)*('Academy · Drivers'!D10*(1-'Academy · Drivers'!C87)+'Academy · Drivers'!D88*'Academy · Drivers'!C87)*12+(MIN((('Academy · Drivers'!C42+'Academy · Drivers'!C46)*'Academy · Drivers'!D12*'Academy · Drivers'!D13*'Academy · Drivers'!D7),('Academy · Drivers'!C52/12*'Academy · Drivers'!D8*1.1*'Academy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Drivers'!D8*1.1*'Academy · Drivers'!C55))/'Academy · Drivers'!C55)*0.5*'Academy · Drivers'!D13*2*12</f>
        <v>1426902</v>
      </c>
      <c r="G9" s="1321" t="n">
        <f aca="false">(MIN((('Academy · Drivers'!C42+'Academy · Drivers'!C46)*'Academy · Drivers'!D12*'Academy · Drivers'!D13*'Academy · Drivers'!D7),('Academy · Drivers'!C52/12*'Academy · Drivers'!D8*1.2*'Academy · Drivers'!C55))/'Academy · Drivers'!C55)*('Academy · Drivers'!D10*(1-'Academy · Drivers'!C87)+'Academy · Drivers'!D88*'Academy · Drivers'!C87)*12+(MIN((('Academy · Drivers'!C42+'Academy · Drivers'!C46)*'Academy · Drivers'!D12*'Academy · Drivers'!D13*'Academy · Drivers'!D7),('Academy · Drivers'!C52/12*'Academy · Drivers'!D8*1.2*'Academy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Drivers'!D8*1.2*'Academy · Drivers'!C55))/'Academy · Drivers'!C55)*0.5*'Academy · Drivers'!D13*2*12</f>
        <v>1467384</v>
      </c>
    </row>
    <row r="10" customFormat="false" ht="120" hidden="false" customHeight="true" outlineLevel="0" collapsed="false">
      <c r="B10" s="113" t="s">
        <v>6084</v>
      </c>
      <c r="C10" s="360"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Drivers'!D9*UNIVERSAL_DRIVERS!$C$33+'Academy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1382910</v>
      </c>
      <c r="D10" s="1280"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Drivers'!D9*UNIVERSAL_DRIVERS!$C$34+'Academy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1384665</v>
      </c>
      <c r="E10" s="1319"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Drivers'!D9*1+'Academy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1386420</v>
      </c>
      <c r="F10" s="1320"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Drivers'!D9*1.1+'Academy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1388175</v>
      </c>
      <c r="G10" s="1321"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Drivers'!D9*1.2+'Academy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1389930</v>
      </c>
    </row>
    <row r="11" customFormat="false" ht="120" hidden="false" customHeight="true" outlineLevel="0" collapsed="false">
      <c r="B11" s="113" t="s">
        <v>6085</v>
      </c>
      <c r="C11" s="360" t="n">
        <f aca="false">(MIN((('Academy · Drivers'!C42+'Academy · Drivers'!C46)*'Academy · Drivers'!D12*'Academy · Drivers'!D13*'Academy · Drivers'!D7),('Academy · Drivers'!C52/12*'Academy · Drivers'!D8*'Academy · Drivers'!C55))/'Academy · Drivers'!C55)*('Academy · Drivers'!D10*UNIVERSAL_DRIVERS!$C$33*(1-'Academy · Drivers'!C87)+'Academy · Drivers'!D88*UNIVERSAL_DRIVERS!$C$33*'Academy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1321134</v>
      </c>
      <c r="D11" s="1280" t="n">
        <f aca="false">(MIN((('Academy · Drivers'!C42+'Academy · Drivers'!C46)*'Academy · Drivers'!D12*'Academy · Drivers'!D13*'Academy · Drivers'!D7),('Academy · Drivers'!C52/12*'Academy · Drivers'!D8*'Academy · Drivers'!C55))/'Academy · Drivers'!C55)*('Academy · Drivers'!D10*UNIVERSAL_DRIVERS!$C$34*(1-'Academy · Drivers'!C87)+'Academy · Drivers'!D88*UNIVERSAL_DRIVERS!$C$34*'Academy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1353777</v>
      </c>
      <c r="E11" s="1319" t="n">
        <f aca="false">(MIN((('Academy · Drivers'!C42+'Academy · Drivers'!C46)*'Academy · Drivers'!D12*'Academy · Drivers'!D13*'Academy · Drivers'!D7),('Academy · Drivers'!C52/12*'Academy · Drivers'!D8*'Academy · Drivers'!C55))/'Academy · Drivers'!C55)*('Academy · Drivers'!D10*1*(1-'Academy · Drivers'!C87)+'Academy · Drivers'!D88*1*'Academy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1386420</v>
      </c>
      <c r="F11" s="1320" t="n">
        <f aca="false">(MIN((('Academy · Drivers'!C42+'Academy · Drivers'!C46)*'Academy · Drivers'!D12*'Academy · Drivers'!D13*'Academy · Drivers'!D7),('Academy · Drivers'!C52/12*'Academy · Drivers'!D8*'Academy · Drivers'!C55))/'Academy · Drivers'!C55)*('Academy · Drivers'!D10*1.1*(1-'Academy · Drivers'!C87)+'Academy · Drivers'!D88*1.1*'Academy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1419063</v>
      </c>
      <c r="G11" s="1321" t="n">
        <f aca="false">(MIN((('Academy · Drivers'!C42+'Academy · Drivers'!C46)*'Academy · Drivers'!D12*'Academy · Drivers'!D13*'Academy · Drivers'!D7),('Academy · Drivers'!C52/12*'Academy · Drivers'!D8*'Academy · Drivers'!C55))/'Academy · Drivers'!C55)*('Academy · Drivers'!D10*1.2*(1-'Academy · Drivers'!C87)+'Academy · Drivers'!D88*1.2*'Academy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f>
        <v>1451706</v>
      </c>
    </row>
    <row r="12" customFormat="false" ht="120" hidden="false" customHeight="true" outlineLevel="0" collapsed="false">
      <c r="B12" s="113" t="s">
        <v>6086</v>
      </c>
      <c r="C12" s="360"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Drivers'!D18*UNIVERSAL_DRIVERS!$C$33*'Academy · Drivers'!D17*12+'Academy · Drivers'!D19*'Academy · Drivers'!D20*12+(MIN((('Academy · Drivers'!C42+'Academy · Drivers'!C46)*'Academy · Drivers'!D12*'Academy · Drivers'!D13*'Academy · Drivers'!D7),('Academy · Drivers'!C52/12*'Academy · Drivers'!D8*'Academy · Drivers'!C55))/'Academy · Drivers'!C55)*0.5*'Academy · Drivers'!D13*2*12</f>
        <v>1371300</v>
      </c>
      <c r="D12" s="1280"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Drivers'!D18*UNIVERSAL_DRIVERS!$C$34*'Academy · Drivers'!D17*12+'Academy · Drivers'!D19*'Academy · Drivers'!D20*12+(MIN((('Academy · Drivers'!C42+'Academy · Drivers'!C46)*'Academy · Drivers'!D12*'Academy · Drivers'!D13*'Academy · Drivers'!D7),('Academy · Drivers'!C52/12*'Academy · Drivers'!D8*'Academy · Drivers'!C55))/'Academy · Drivers'!C55)*0.5*'Academy · Drivers'!D13*2*12</f>
        <v>1378860</v>
      </c>
      <c r="E12" s="1319"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Drivers'!D18*1*'Academy · Drivers'!D17*12+'Academy · Drivers'!D19*'Academy · Drivers'!D20*12+(MIN((('Academy · Drivers'!C42+'Academy · Drivers'!C46)*'Academy · Drivers'!D12*'Academy · Drivers'!D13*'Academy · Drivers'!D7),('Academy · Drivers'!C52/12*'Academy · Drivers'!D8*'Academy · Drivers'!C55))/'Academy · Drivers'!C55)*0.5*'Academy · Drivers'!D13*2*12</f>
        <v>1386420</v>
      </c>
      <c r="F12" s="1320"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Drivers'!D18*1.1*'Academy · Drivers'!D17*12+'Academy · Drivers'!D19*'Academy · Drivers'!D20*12+(MIN((('Academy · Drivers'!C42+'Academy · Drivers'!C46)*'Academy · Drivers'!D12*'Academy · Drivers'!D13*'Academy · Drivers'!D7),('Academy · Drivers'!C52/12*'Academy · Drivers'!D8*'Academy · Drivers'!C55))/'Academy · Drivers'!C55)*0.5*'Academy · Drivers'!D13*2*12</f>
        <v>1393980</v>
      </c>
      <c r="G12" s="1321"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Drivers'!D18*1.2*'Academy · Drivers'!D17*12+'Academy · Drivers'!D19*'Academy · Drivers'!D20*12+(MIN((('Academy · Drivers'!C42+'Academy · Drivers'!C46)*'Academy · Drivers'!D12*'Academy · Drivers'!D13*'Academy · Drivers'!D7),('Academy · Drivers'!C52/12*'Academy · Drivers'!D8*'Academy · Drivers'!C55))/'Academy · Drivers'!C55)*0.5*'Academy · Drivers'!D13*2*12</f>
        <v>1401540</v>
      </c>
    </row>
    <row r="13" customFormat="false" ht="15" hidden="false" customHeight="true" outlineLevel="0" collapsed="false">
      <c r="B13" s="6"/>
      <c r="F13" s="6"/>
    </row>
    <row r="14" customFormat="false" ht="21.75" hidden="false" customHeight="true" outlineLevel="0" collapsed="false">
      <c r="B14" s="1265" t="s">
        <v>6087</v>
      </c>
      <c r="C14" s="1403" t="s">
        <v>6088</v>
      </c>
      <c r="D14" s="1403"/>
      <c r="E14" s="1403"/>
      <c r="F14" s="1403"/>
      <c r="G14" s="1403"/>
    </row>
    <row r="15" customFormat="false" ht="21.75" hidden="false" customHeight="true" outlineLevel="0" collapsed="false">
      <c r="B15" s="304" t="s">
        <v>2343</v>
      </c>
      <c r="C15" s="304"/>
      <c r="D15" s="304"/>
      <c r="E15" s="304"/>
      <c r="F15" s="304"/>
      <c r="G15" s="304"/>
      <c r="H15" s="304"/>
    </row>
    <row r="16" customFormat="false" ht="120" hidden="false" customHeight="true" outlineLevel="0" collapsed="false">
      <c r="B16" s="85" t="s">
        <v>6089</v>
      </c>
      <c r="C16" s="85"/>
      <c r="D16" s="85"/>
      <c r="E16" s="85"/>
      <c r="F16" s="85"/>
      <c r="G16" s="85"/>
    </row>
    <row r="17" customFormat="false" ht="15" hidden="false" customHeight="true" outlineLevel="0" collapsed="false">
      <c r="B17" s="85"/>
      <c r="C17" s="85"/>
      <c r="D17" s="85"/>
      <c r="E17" s="85"/>
      <c r="F17" s="85"/>
      <c r="G17" s="85"/>
    </row>
    <row r="18" customFormat="false" ht="15" hidden="false" customHeight="true" outlineLevel="0" collapsed="false">
      <c r="B18" s="85"/>
      <c r="C18" s="85"/>
      <c r="D18" s="85"/>
      <c r="E18" s="85"/>
      <c r="F18" s="85"/>
      <c r="G18" s="85"/>
    </row>
    <row r="19" customFormat="false" ht="15" hidden="false" customHeight="true" outlineLevel="0" collapsed="false">
      <c r="B19" s="85"/>
      <c r="C19" s="85"/>
      <c r="D19" s="85"/>
      <c r="E19" s="85"/>
      <c r="F19" s="85"/>
      <c r="G19" s="85"/>
    </row>
  </sheetData>
  <mergeCells count="7">
    <mergeCell ref="B2:F2"/>
    <mergeCell ref="G2:J2"/>
    <mergeCell ref="B3:J3"/>
    <mergeCell ref="B5:H5"/>
    <mergeCell ref="C14:G14"/>
    <mergeCell ref="B15:H15"/>
    <mergeCell ref="B16:G19"/>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A1:I6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0"/>
    <col collapsed="false" customWidth="true" hidden="false" outlineLevel="0" max="7" min="7" style="0" width="23"/>
    <col collapsed="false" customWidth="true" hidden="false" outlineLevel="0" max="9" min="8" style="0" width="9"/>
    <col collapsed="false" customWidth="true" hidden="false" outlineLevel="0" max="11" min="10" style="0" width="12"/>
  </cols>
  <sheetData>
    <row r="1" customFormat="false" ht="3.75" hidden="false" customHeight="true" outlineLevel="0" collapsed="false">
      <c r="A1" s="314"/>
      <c r="B1" s="315"/>
      <c r="C1" s="316"/>
      <c r="D1" s="316"/>
      <c r="E1" s="315"/>
      <c r="F1" s="316"/>
      <c r="G1" s="316"/>
      <c r="H1" s="2"/>
      <c r="I1" s="2"/>
    </row>
    <row r="2" customFormat="false" ht="27.75" hidden="false" customHeight="true" outlineLevel="0" collapsed="false">
      <c r="A2" s="314"/>
      <c r="B2" s="88" t="s">
        <v>6090</v>
      </c>
      <c r="C2" s="88"/>
      <c r="D2" s="88"/>
      <c r="E2" s="88"/>
      <c r="F2" s="88"/>
      <c r="G2" s="89" t="s">
        <v>995</v>
      </c>
      <c r="H2" s="89"/>
      <c r="I2" s="89"/>
    </row>
    <row r="3" customFormat="false" ht="33.75" hidden="false" customHeight="true" outlineLevel="0" collapsed="false">
      <c r="A3" s="314"/>
      <c r="B3" s="90" t="s">
        <v>6091</v>
      </c>
      <c r="C3" s="90"/>
      <c r="D3" s="90"/>
      <c r="E3" s="90"/>
      <c r="F3" s="90"/>
      <c r="G3" s="90"/>
      <c r="H3" s="90"/>
      <c r="I3" s="90"/>
    </row>
    <row r="4" customFormat="false" ht="15" hidden="false" customHeight="true" outlineLevel="0" collapsed="false">
      <c r="A4" s="314"/>
      <c r="B4" s="317"/>
      <c r="C4" s="314"/>
      <c r="D4" s="314"/>
      <c r="E4" s="317"/>
      <c r="F4" s="314"/>
      <c r="G4" s="314"/>
    </row>
    <row r="5" customFormat="false" ht="21.75" hidden="false" customHeight="true" outlineLevel="0" collapsed="false">
      <c r="A5" s="314"/>
      <c r="B5" s="96" t="s">
        <v>4374</v>
      </c>
      <c r="C5" s="96"/>
      <c r="D5" s="96"/>
      <c r="E5" s="96"/>
      <c r="F5" s="96"/>
      <c r="G5" s="96"/>
      <c r="H5" s="96"/>
      <c r="I5" s="96"/>
    </row>
    <row r="6" customFormat="false" ht="21.75" hidden="false" customHeight="true" outlineLevel="0" collapsed="false">
      <c r="A6" s="314"/>
      <c r="B6" s="97" t="s">
        <v>206</v>
      </c>
      <c r="C6" s="98" t="s">
        <v>4375</v>
      </c>
      <c r="D6" s="98" t="s">
        <v>4441</v>
      </c>
      <c r="E6" s="99" t="s">
        <v>6092</v>
      </c>
      <c r="F6" s="98" t="s">
        <v>4141</v>
      </c>
      <c r="G6" s="98" t="s">
        <v>395</v>
      </c>
    </row>
    <row r="7" customFormat="false" ht="15" hidden="false" customHeight="true" outlineLevel="0" collapsed="false">
      <c r="A7" s="314"/>
      <c r="B7" s="126" t="s">
        <v>6093</v>
      </c>
      <c r="C7" s="541" t="n">
        <f aca="false">'Academy · Drivers'!C60</f>
        <v>195</v>
      </c>
      <c r="D7" s="706" t="s">
        <v>6094</v>
      </c>
      <c r="E7" s="863" t="s">
        <v>6095</v>
      </c>
      <c r="F7" s="690" t="s">
        <v>6096</v>
      </c>
      <c r="G7" s="107" t="s">
        <v>6097</v>
      </c>
    </row>
    <row r="8" customFormat="false" ht="15" hidden="false" customHeight="true" outlineLevel="0" collapsed="false">
      <c r="A8" s="314"/>
      <c r="B8" s="113" t="s">
        <v>5392</v>
      </c>
      <c r="C8" s="1218" t="n">
        <f aca="false">'Academy · Drivers'!C23</f>
        <v>0.9</v>
      </c>
      <c r="D8" s="706" t="s">
        <v>5222</v>
      </c>
      <c r="E8" s="863" t="s">
        <v>6098</v>
      </c>
      <c r="F8" s="690" t="s">
        <v>5247</v>
      </c>
      <c r="G8" s="107" t="s">
        <v>5753</v>
      </c>
    </row>
    <row r="9" customFormat="false" ht="15" hidden="false" customHeight="true" outlineLevel="0" collapsed="false">
      <c r="A9" s="314"/>
      <c r="B9" s="113" t="s">
        <v>4387</v>
      </c>
      <c r="C9" s="1218" t="n">
        <f aca="false">'Academy · Costs'!C37/'Academy · Revenue'!E17</f>
        <v>0.678370228265844</v>
      </c>
      <c r="D9" s="706" t="s">
        <v>6099</v>
      </c>
      <c r="E9" s="863" t="s">
        <v>6100</v>
      </c>
      <c r="F9" s="690" t="s">
        <v>6101</v>
      </c>
      <c r="G9" s="107" t="s">
        <v>6102</v>
      </c>
    </row>
    <row r="10" customFormat="false" ht="15" hidden="false" customHeight="true" outlineLevel="0" collapsed="false">
      <c r="A10" s="314"/>
      <c r="B10" s="113" t="s">
        <v>4431</v>
      </c>
      <c r="C10" s="547" t="n">
        <f aca="false">'Academy · Revenue'!E17/600</f>
        <v>2658.45</v>
      </c>
      <c r="D10" s="706" t="s">
        <v>6103</v>
      </c>
      <c r="E10" s="863" t="s">
        <v>6104</v>
      </c>
      <c r="F10" s="690" t="s">
        <v>6105</v>
      </c>
      <c r="G10" s="107" t="s">
        <v>6106</v>
      </c>
    </row>
    <row r="11" customFormat="false" ht="15" hidden="false" customHeight="true" outlineLevel="0" collapsed="false">
      <c r="A11" s="314"/>
      <c r="B11" s="113" t="s">
        <v>4434</v>
      </c>
      <c r="C11" s="547" t="n">
        <f aca="false">'Academy · Revenue'!E17/('Academy · Drivers'!C66/30000+4+2)</f>
        <v>170900.357142857</v>
      </c>
      <c r="D11" s="706" t="s">
        <v>6107</v>
      </c>
      <c r="E11" s="863" t="s">
        <v>6108</v>
      </c>
      <c r="F11" s="690" t="s">
        <v>5247</v>
      </c>
      <c r="G11" s="107" t="s">
        <v>6109</v>
      </c>
    </row>
    <row r="12" customFormat="false" ht="15" hidden="false" customHeight="true" outlineLevel="0" collapsed="false">
      <c r="A12" s="314"/>
      <c r="B12" s="113" t="s">
        <v>4384</v>
      </c>
      <c r="C12" s="1334" t="n">
        <v>7</v>
      </c>
      <c r="D12" s="706" t="s">
        <v>6110</v>
      </c>
      <c r="E12" s="863" t="s">
        <v>6111</v>
      </c>
      <c r="F12" s="690" t="s">
        <v>6112</v>
      </c>
      <c r="G12" s="107" t="s">
        <v>6113</v>
      </c>
    </row>
    <row r="13" customFormat="false" ht="15" hidden="false" customHeight="true" outlineLevel="0" collapsed="false">
      <c r="A13" s="314"/>
      <c r="B13" s="113" t="s">
        <v>6114</v>
      </c>
      <c r="C13" s="1345" t="n">
        <f aca="false">'Academy · Drivers'!C55</f>
        <v>8</v>
      </c>
      <c r="D13" s="706" t="s">
        <v>6115</v>
      </c>
      <c r="E13" s="863" t="s">
        <v>6116</v>
      </c>
      <c r="F13" s="690" t="s">
        <v>6117</v>
      </c>
      <c r="G13" s="107" t="s">
        <v>6118</v>
      </c>
    </row>
    <row r="14" customFormat="false" ht="15" hidden="false" customHeight="true" outlineLevel="0" collapsed="false">
      <c r="A14" s="314"/>
      <c r="B14" s="317"/>
      <c r="C14" s="314"/>
      <c r="D14" s="314"/>
      <c r="E14" s="317"/>
      <c r="F14" s="314"/>
      <c r="G14" s="314"/>
    </row>
    <row r="15" customFormat="false" ht="33.75" hidden="false" customHeight="true" outlineLevel="0" collapsed="false">
      <c r="A15" s="314"/>
      <c r="B15" s="96" t="s">
        <v>6119</v>
      </c>
      <c r="C15" s="96"/>
      <c r="D15" s="96"/>
      <c r="E15" s="96"/>
      <c r="F15" s="96"/>
      <c r="G15" s="96"/>
      <c r="H15" s="96"/>
      <c r="I15" s="96"/>
    </row>
    <row r="16" customFormat="false" ht="21.75" hidden="false" customHeight="true" outlineLevel="0" collapsed="false">
      <c r="A16" s="314"/>
      <c r="B16" s="97" t="s">
        <v>6120</v>
      </c>
      <c r="C16" s="98" t="s">
        <v>4375</v>
      </c>
      <c r="D16" s="98" t="s">
        <v>5232</v>
      </c>
      <c r="E16" s="99" t="s">
        <v>5189</v>
      </c>
      <c r="F16" s="98" t="s">
        <v>4443</v>
      </c>
      <c r="G16" s="98" t="s">
        <v>1658</v>
      </c>
    </row>
    <row r="17" customFormat="false" ht="15" hidden="false" customHeight="true" outlineLevel="0" collapsed="false">
      <c r="B17" s="113" t="s">
        <v>6121</v>
      </c>
      <c r="C17" s="547" t="n">
        <f aca="false">'Academy · Drivers'!C26</f>
        <v>135</v>
      </c>
      <c r="D17" s="706" t="s">
        <v>6122</v>
      </c>
      <c r="E17" s="863" t="s">
        <v>6123</v>
      </c>
      <c r="F17" s="690" t="s">
        <v>5201</v>
      </c>
      <c r="G17" s="107" t="s">
        <v>6124</v>
      </c>
    </row>
    <row r="18" customFormat="false" ht="15" hidden="false" customHeight="true" outlineLevel="0" collapsed="false">
      <c r="B18" s="126" t="s">
        <v>6125</v>
      </c>
      <c r="C18" s="547" t="n">
        <f aca="false">'Academy · Drivers'!C89</f>
        <v>150</v>
      </c>
      <c r="D18" s="706" t="s">
        <v>6126</v>
      </c>
      <c r="E18" s="863" t="s">
        <v>4423</v>
      </c>
      <c r="F18" s="690" t="s">
        <v>6127</v>
      </c>
      <c r="G18" s="107" t="s">
        <v>6128</v>
      </c>
    </row>
    <row r="19" customFormat="false" ht="15" hidden="false" customHeight="true" outlineLevel="0" collapsed="false">
      <c r="B19" s="126" t="s">
        <v>6129</v>
      </c>
      <c r="C19" s="547" t="n">
        <f aca="false">'Academy · Drivers'!C27</f>
        <v>250</v>
      </c>
      <c r="D19" s="706" t="s">
        <v>6123</v>
      </c>
      <c r="E19" s="863" t="s">
        <v>6130</v>
      </c>
      <c r="F19" s="690" t="s">
        <v>6131</v>
      </c>
      <c r="G19" s="107" t="s">
        <v>6132</v>
      </c>
    </row>
    <row r="20" customFormat="false" ht="15" hidden="false" customHeight="true" outlineLevel="0" collapsed="false">
      <c r="B20" s="126" t="s">
        <v>6133</v>
      </c>
      <c r="C20" s="547" t="n">
        <f aca="false">'Academy · Drivers'!C26*12</f>
        <v>1620</v>
      </c>
      <c r="D20" s="706" t="s">
        <v>6134</v>
      </c>
      <c r="E20" s="863" t="s">
        <v>6135</v>
      </c>
      <c r="F20" s="690" t="s">
        <v>6136</v>
      </c>
      <c r="G20" s="107" t="s">
        <v>6137</v>
      </c>
    </row>
    <row r="21" customFormat="false" ht="15" hidden="false" customHeight="true" outlineLevel="0" collapsed="false">
      <c r="B21" s="113" t="s">
        <v>6138</v>
      </c>
      <c r="C21" s="547" t="n">
        <f aca="false">'Academy · Drivers'!C31</f>
        <v>3700</v>
      </c>
      <c r="D21" s="706" t="s">
        <v>6139</v>
      </c>
      <c r="E21" s="863" t="s">
        <v>6140</v>
      </c>
      <c r="F21" s="690" t="s">
        <v>6141</v>
      </c>
      <c r="G21" s="107" t="s">
        <v>6142</v>
      </c>
    </row>
    <row r="22" customFormat="false" ht="15" hidden="false" customHeight="true" outlineLevel="0" collapsed="false">
      <c r="B22" s="113" t="s">
        <v>6143</v>
      </c>
      <c r="C22" s="547" t="n">
        <f aca="false">'Academy · Drivers'!C33</f>
        <v>120</v>
      </c>
      <c r="D22" s="706" t="s">
        <v>6144</v>
      </c>
      <c r="E22" s="863" t="s">
        <v>6145</v>
      </c>
      <c r="F22" s="690" t="s">
        <v>6146</v>
      </c>
      <c r="G22" s="107" t="s">
        <v>6147</v>
      </c>
    </row>
    <row r="23" customFormat="false" ht="15" hidden="false" customHeight="true" outlineLevel="0" collapsed="false">
      <c r="B23" s="126" t="s">
        <v>6148</v>
      </c>
      <c r="C23" s="547" t="n">
        <f aca="false">'Academy · Drivers'!E17</f>
        <v>120</v>
      </c>
      <c r="D23" s="706" t="s">
        <v>6149</v>
      </c>
      <c r="E23" s="863" t="s">
        <v>6150</v>
      </c>
      <c r="F23" s="690" t="s">
        <v>6151</v>
      </c>
      <c r="G23" s="107" t="s">
        <v>6152</v>
      </c>
    </row>
    <row r="24" customFormat="false" ht="15" hidden="false" customHeight="true" outlineLevel="0" collapsed="false">
      <c r="B24" s="113" t="s">
        <v>6153</v>
      </c>
      <c r="C24" s="547" t="n">
        <f aca="false">'Academy · Drivers'!C36</f>
        <v>15</v>
      </c>
      <c r="D24" s="706" t="s">
        <v>6154</v>
      </c>
      <c r="E24" s="863" t="s">
        <v>4400</v>
      </c>
      <c r="F24" s="690" t="s">
        <v>5213</v>
      </c>
      <c r="G24" s="107" t="s">
        <v>6155</v>
      </c>
    </row>
    <row r="25" customFormat="false" ht="15" hidden="false" customHeight="true" outlineLevel="0" collapsed="false">
      <c r="B25" s="126" t="s">
        <v>6156</v>
      </c>
      <c r="C25" s="547" t="n">
        <f aca="false">'Academy · Drivers'!D95</f>
        <v>1000</v>
      </c>
      <c r="D25" s="706" t="s">
        <v>6157</v>
      </c>
      <c r="E25" s="863" t="s">
        <v>6158</v>
      </c>
      <c r="F25" s="690" t="s">
        <v>6159</v>
      </c>
      <c r="G25" s="107" t="s">
        <v>6160</v>
      </c>
    </row>
    <row r="26" customFormat="false" ht="15" hidden="false" customHeight="true" outlineLevel="0" collapsed="false">
      <c r="B26" s="6"/>
      <c r="E26" s="6"/>
    </row>
    <row r="27" customFormat="false" ht="21.75" hidden="false" customHeight="true" outlineLevel="0" collapsed="false">
      <c r="B27" s="96" t="s">
        <v>4426</v>
      </c>
      <c r="C27" s="96"/>
      <c r="D27" s="96"/>
      <c r="E27" s="96"/>
      <c r="F27" s="96"/>
      <c r="G27" s="96"/>
      <c r="H27" s="96"/>
      <c r="I27" s="96"/>
    </row>
    <row r="28" customFormat="false" ht="21.75" hidden="false" customHeight="true" outlineLevel="0" collapsed="false">
      <c r="B28" s="97" t="s">
        <v>206</v>
      </c>
      <c r="C28" s="98" t="s">
        <v>4427</v>
      </c>
      <c r="D28" s="98" t="s">
        <v>4428</v>
      </c>
      <c r="E28" s="99"/>
      <c r="F28" s="98"/>
      <c r="G28" s="98" t="s">
        <v>1658</v>
      </c>
    </row>
    <row r="29" customFormat="false" ht="15" hidden="false" customHeight="true" outlineLevel="0" collapsed="false">
      <c r="B29" s="126" t="s">
        <v>6161</v>
      </c>
      <c r="C29" s="547" t="n">
        <f aca="false">'Academy · Revenue'!E17/'Academy · Drivers'!C60</f>
        <v>8179.84615384615</v>
      </c>
      <c r="D29" s="706" t="s">
        <v>6162</v>
      </c>
      <c r="E29" s="6"/>
      <c r="G29" s="107" t="s">
        <v>6163</v>
      </c>
    </row>
    <row r="30" customFormat="false" ht="15" hidden="false" customHeight="true" outlineLevel="0" collapsed="false">
      <c r="B30" s="126" t="s">
        <v>6164</v>
      </c>
      <c r="C30" s="541" t="n">
        <f aca="false">'Academy · Drivers'!C60*12/'Academy · Drivers'!C25</f>
        <v>234</v>
      </c>
      <c r="D30" s="706" t="s">
        <v>5191</v>
      </c>
      <c r="E30" s="6"/>
      <c r="G30" s="107" t="s">
        <v>6165</v>
      </c>
    </row>
    <row r="31" customFormat="false" ht="15" hidden="false" customHeight="true" outlineLevel="0" collapsed="false">
      <c r="B31" s="126" t="s">
        <v>6166</v>
      </c>
      <c r="C31" s="547" t="n">
        <v>150</v>
      </c>
      <c r="D31" s="706" t="s">
        <v>6167</v>
      </c>
      <c r="E31" s="6"/>
      <c r="G31" s="107" t="s">
        <v>6168</v>
      </c>
    </row>
    <row r="32" customFormat="false" ht="15" hidden="false" customHeight="true" outlineLevel="0" collapsed="false">
      <c r="B32" s="126" t="s">
        <v>6169</v>
      </c>
      <c r="C32" s="547" t="n">
        <f aca="false">'Academy · Drivers'!C90*'Academy · Drivers'!C25</f>
        <v>1395</v>
      </c>
      <c r="D32" s="706" t="s">
        <v>6170</v>
      </c>
      <c r="E32" s="6"/>
      <c r="G32" s="107" t="s">
        <v>6171</v>
      </c>
    </row>
    <row r="33" customFormat="false" ht="15" hidden="false" customHeight="true" outlineLevel="0" collapsed="false">
      <c r="B33" s="113" t="s">
        <v>6172</v>
      </c>
      <c r="C33" s="1307" t="n">
        <f aca="false">('Academy · Drivers'!C90*'Academy · Drivers'!C25)/150</f>
        <v>9.3</v>
      </c>
      <c r="D33" s="706" t="s">
        <v>6173</v>
      </c>
      <c r="E33" s="6"/>
      <c r="G33" s="107" t="s">
        <v>6174</v>
      </c>
    </row>
    <row r="34" customFormat="false" ht="15" hidden="false" customHeight="true" outlineLevel="0" collapsed="false">
      <c r="B34" s="113" t="s">
        <v>6175</v>
      </c>
      <c r="C34" s="1365" t="n">
        <f aca="false">150/'Academy · Drivers'!C90</f>
        <v>1.0752688172043</v>
      </c>
      <c r="D34" s="706" t="s">
        <v>6176</v>
      </c>
      <c r="E34" s="6"/>
      <c r="G34" s="107" t="s">
        <v>6177</v>
      </c>
    </row>
    <row r="35" customFormat="false" ht="15" hidden="false" customHeight="true" outlineLevel="0" collapsed="false">
      <c r="B35" s="113" t="s">
        <v>5413</v>
      </c>
      <c r="C35" s="1399" t="n">
        <f aca="false">'Academy · Drivers'!C34</f>
        <v>0.75</v>
      </c>
      <c r="D35" s="706" t="s">
        <v>6178</v>
      </c>
      <c r="E35" s="6"/>
      <c r="G35" s="107" t="s">
        <v>6179</v>
      </c>
    </row>
    <row r="36" customFormat="false" ht="15" hidden="false" customHeight="true" outlineLevel="0" collapsed="false">
      <c r="B36" s="126" t="s">
        <v>6180</v>
      </c>
      <c r="C36" s="1307" t="n">
        <f aca="false">'Academy · Drivers'!E7/'Academy · Drivers'!C7</f>
        <v>1.29411764705882</v>
      </c>
      <c r="D36" s="706" t="s">
        <v>6181</v>
      </c>
      <c r="E36" s="6"/>
      <c r="G36" s="107" t="s">
        <v>6182</v>
      </c>
    </row>
    <row r="37" customFormat="false" ht="15" hidden="false" customHeight="true" outlineLevel="0" collapsed="false">
      <c r="B37" s="6"/>
      <c r="E37" s="6"/>
    </row>
    <row r="38" customFormat="false" ht="33.75" hidden="false" customHeight="true" outlineLevel="0" collapsed="false">
      <c r="B38" s="96" t="s">
        <v>6183</v>
      </c>
      <c r="C38" s="96"/>
      <c r="D38" s="96"/>
      <c r="E38" s="96"/>
      <c r="F38" s="96"/>
      <c r="G38" s="96"/>
      <c r="H38" s="96"/>
      <c r="I38" s="96"/>
    </row>
    <row r="39" customFormat="false" ht="21.75" hidden="false" customHeight="true" outlineLevel="0" collapsed="false">
      <c r="B39" s="97" t="s">
        <v>6184</v>
      </c>
      <c r="C39" s="98" t="s">
        <v>6185</v>
      </c>
      <c r="D39" s="98" t="s">
        <v>6186</v>
      </c>
      <c r="E39" s="99" t="s">
        <v>6187</v>
      </c>
      <c r="F39" s="98" t="s">
        <v>6188</v>
      </c>
      <c r="G39" s="98" t="s">
        <v>778</v>
      </c>
    </row>
    <row r="40" customFormat="false" ht="15" hidden="false" customHeight="true" outlineLevel="0" collapsed="false">
      <c r="B40" s="113" t="s">
        <v>6189</v>
      </c>
      <c r="C40" s="706" t="s">
        <v>6190</v>
      </c>
      <c r="D40" s="706" t="s">
        <v>6191</v>
      </c>
      <c r="E40" s="863" t="s">
        <v>6192</v>
      </c>
      <c r="F40" s="690" t="s">
        <v>6193</v>
      </c>
      <c r="G40" s="107" t="s">
        <v>6194</v>
      </c>
    </row>
    <row r="41" customFormat="false" ht="15" hidden="false" customHeight="true" outlineLevel="0" collapsed="false">
      <c r="B41" s="113" t="s">
        <v>6189</v>
      </c>
      <c r="C41" s="706" t="s">
        <v>6195</v>
      </c>
      <c r="D41" s="706" t="s">
        <v>6196</v>
      </c>
      <c r="E41" s="863" t="s">
        <v>6192</v>
      </c>
      <c r="F41" s="690" t="s">
        <v>6193</v>
      </c>
      <c r="G41" s="107" t="s">
        <v>6197</v>
      </c>
    </row>
    <row r="42" customFormat="false" ht="15" hidden="false" customHeight="true" outlineLevel="0" collapsed="false">
      <c r="B42" s="113" t="s">
        <v>6198</v>
      </c>
      <c r="C42" s="706" t="s">
        <v>6199</v>
      </c>
      <c r="D42" s="706" t="s">
        <v>6200</v>
      </c>
      <c r="E42" s="863" t="s">
        <v>2350</v>
      </c>
      <c r="F42" s="690" t="s">
        <v>6193</v>
      </c>
      <c r="G42" s="107" t="s">
        <v>6201</v>
      </c>
    </row>
    <row r="43" customFormat="false" ht="15" hidden="false" customHeight="true" outlineLevel="0" collapsed="false">
      <c r="B43" s="113" t="s">
        <v>6202</v>
      </c>
      <c r="C43" s="706" t="s">
        <v>6203</v>
      </c>
      <c r="D43" s="706" t="s">
        <v>6204</v>
      </c>
      <c r="E43" s="863" t="s">
        <v>6205</v>
      </c>
      <c r="F43" s="690" t="s">
        <v>6206</v>
      </c>
      <c r="G43" s="107" t="s">
        <v>6207</v>
      </c>
    </row>
    <row r="44" customFormat="false" ht="15" hidden="false" customHeight="true" outlineLevel="0" collapsed="false">
      <c r="B44" s="113" t="s">
        <v>6208</v>
      </c>
      <c r="C44" s="706" t="s">
        <v>6209</v>
      </c>
      <c r="D44" s="706" t="s">
        <v>6210</v>
      </c>
      <c r="E44" s="863" t="s">
        <v>6205</v>
      </c>
      <c r="F44" s="690" t="s">
        <v>6206</v>
      </c>
      <c r="G44" s="107" t="s">
        <v>6211</v>
      </c>
    </row>
    <row r="45" customFormat="false" ht="15" hidden="false" customHeight="true" outlineLevel="0" collapsed="false">
      <c r="B45" s="113" t="s">
        <v>6212</v>
      </c>
      <c r="C45" s="706" t="s">
        <v>6213</v>
      </c>
      <c r="D45" s="706" t="s">
        <v>6214</v>
      </c>
      <c r="E45" s="863" t="s">
        <v>2350</v>
      </c>
      <c r="F45" s="690" t="s">
        <v>6193</v>
      </c>
      <c r="G45" s="107" t="s">
        <v>6215</v>
      </c>
    </row>
    <row r="46" customFormat="false" ht="15" hidden="false" customHeight="true" outlineLevel="0" collapsed="false">
      <c r="B46" s="113" t="s">
        <v>6216</v>
      </c>
      <c r="C46" s="706" t="s">
        <v>6217</v>
      </c>
      <c r="D46" s="706" t="s">
        <v>2350</v>
      </c>
      <c r="E46" s="863" t="s">
        <v>2350</v>
      </c>
      <c r="F46" s="690" t="s">
        <v>6218</v>
      </c>
      <c r="G46" s="107" t="s">
        <v>6219</v>
      </c>
    </row>
    <row r="47" customFormat="false" ht="15" hidden="false" customHeight="true" outlineLevel="0" collapsed="false">
      <c r="B47" s="905" t="s">
        <v>6220</v>
      </c>
      <c r="C47" s="706" t="s">
        <v>6221</v>
      </c>
      <c r="D47" s="706" t="s">
        <v>6222</v>
      </c>
      <c r="E47" s="580" t="s">
        <v>6223</v>
      </c>
      <c r="F47" s="690" t="s">
        <v>6224</v>
      </c>
      <c r="G47" s="107" t="s">
        <v>6225</v>
      </c>
    </row>
    <row r="48" customFormat="false" ht="15" hidden="false" customHeight="true" outlineLevel="0" collapsed="false">
      <c r="B48" s="6"/>
      <c r="E48" s="6"/>
    </row>
    <row r="49" customFormat="false" ht="15" hidden="false" customHeight="true" outlineLevel="0" collapsed="false">
      <c r="B49" s="6"/>
      <c r="E49" s="6"/>
    </row>
    <row r="50" customFormat="false" ht="21.75" hidden="false" customHeight="true" outlineLevel="0" collapsed="false">
      <c r="B50" s="96" t="s">
        <v>6226</v>
      </c>
      <c r="C50" s="96"/>
      <c r="D50" s="96"/>
      <c r="E50" s="96"/>
      <c r="F50" s="96"/>
      <c r="G50" s="96"/>
      <c r="H50" s="96"/>
      <c r="I50" s="96"/>
    </row>
    <row r="51" customFormat="false" ht="15" hidden="false" customHeight="true" outlineLevel="0" collapsed="false">
      <c r="B51" s="1323" t="s">
        <v>6227</v>
      </c>
      <c r="C51" s="742" t="s">
        <v>6228</v>
      </c>
      <c r="D51" s="742"/>
      <c r="E51" s="742"/>
      <c r="F51" s="742"/>
      <c r="G51" s="742"/>
      <c r="H51" s="742"/>
      <c r="I51" s="742"/>
    </row>
    <row r="52" customFormat="false" ht="15" hidden="false" customHeight="true" outlineLevel="0" collapsed="false">
      <c r="B52" s="6"/>
      <c r="C52" s="742" t="s">
        <v>6229</v>
      </c>
      <c r="D52" s="742"/>
      <c r="E52" s="742"/>
      <c r="F52" s="742"/>
      <c r="G52" s="742"/>
      <c r="H52" s="742"/>
      <c r="I52" s="742"/>
    </row>
    <row r="53" customFormat="false" ht="15" hidden="false" customHeight="true" outlineLevel="0" collapsed="false">
      <c r="B53" s="6"/>
      <c r="C53" s="742" t="s">
        <v>6230</v>
      </c>
      <c r="D53" s="742"/>
      <c r="E53" s="742"/>
      <c r="F53" s="742"/>
      <c r="G53" s="742"/>
      <c r="H53" s="742"/>
      <c r="I53" s="742"/>
    </row>
    <row r="54" customFormat="false" ht="15" hidden="false" customHeight="true" outlineLevel="0" collapsed="false">
      <c r="B54" s="6"/>
      <c r="C54" s="742" t="s">
        <v>6231</v>
      </c>
      <c r="D54" s="742"/>
      <c r="E54" s="742"/>
      <c r="F54" s="742"/>
      <c r="G54" s="742"/>
      <c r="H54" s="742"/>
      <c r="I54" s="742"/>
    </row>
    <row r="55" customFormat="false" ht="15" hidden="false" customHeight="true" outlineLevel="0" collapsed="false">
      <c r="B55" s="6"/>
      <c r="C55" s="742" t="s">
        <v>6232</v>
      </c>
      <c r="D55" s="742"/>
      <c r="E55" s="742"/>
      <c r="F55" s="742"/>
      <c r="G55" s="742"/>
      <c r="H55" s="742"/>
      <c r="I55" s="742"/>
    </row>
    <row r="56" customFormat="false" ht="15" hidden="false" customHeight="true" outlineLevel="0" collapsed="false">
      <c r="B56" s="6"/>
      <c r="C56" s="742" t="s">
        <v>6233</v>
      </c>
      <c r="D56" s="742"/>
      <c r="E56" s="742"/>
      <c r="F56" s="742"/>
      <c r="G56" s="742"/>
      <c r="H56" s="742"/>
      <c r="I56" s="742"/>
    </row>
    <row r="57" customFormat="false" ht="15" hidden="false" customHeight="true" outlineLevel="0" collapsed="false">
      <c r="B57" s="6"/>
      <c r="C57" s="742" t="s">
        <v>6234</v>
      </c>
      <c r="D57" s="742"/>
      <c r="E57" s="742"/>
      <c r="F57" s="742"/>
      <c r="G57" s="742"/>
      <c r="H57" s="742"/>
      <c r="I57" s="742"/>
    </row>
    <row r="58" customFormat="false" ht="15" hidden="false" customHeight="true" outlineLevel="0" collapsed="false">
      <c r="B58" s="6"/>
      <c r="C58" s="742" t="s">
        <v>6235</v>
      </c>
      <c r="D58" s="742"/>
      <c r="E58" s="742"/>
      <c r="F58" s="742"/>
      <c r="G58" s="742"/>
      <c r="H58" s="742"/>
      <c r="I58" s="742"/>
    </row>
    <row r="59" customFormat="false" ht="15" hidden="false" customHeight="true" outlineLevel="0" collapsed="false">
      <c r="B59" s="6"/>
      <c r="C59" s="742" t="s">
        <v>6236</v>
      </c>
      <c r="D59" s="742"/>
      <c r="E59" s="742"/>
      <c r="F59" s="742"/>
      <c r="G59" s="742"/>
      <c r="H59" s="742"/>
      <c r="I59" s="742"/>
    </row>
    <row r="60" customFormat="false" ht="15" hidden="false" customHeight="true" outlineLevel="0" collapsed="false">
      <c r="B60" s="6"/>
      <c r="C60" s="742" t="s">
        <v>6237</v>
      </c>
      <c r="D60" s="742"/>
      <c r="E60" s="742"/>
      <c r="F60" s="742"/>
      <c r="G60" s="742"/>
      <c r="H60" s="742"/>
      <c r="I60" s="742"/>
    </row>
    <row r="61" customFormat="false" ht="15" hidden="false" customHeight="true" outlineLevel="0" collapsed="false">
      <c r="B61" s="1323" t="s">
        <v>5352</v>
      </c>
      <c r="C61" s="742" t="s">
        <v>6238</v>
      </c>
      <c r="D61" s="742"/>
      <c r="E61" s="742"/>
      <c r="F61" s="742"/>
      <c r="G61" s="742"/>
      <c r="H61" s="742"/>
      <c r="I61" s="742"/>
    </row>
    <row r="62" customFormat="false" ht="15" hidden="false" customHeight="true" outlineLevel="0" collapsed="false">
      <c r="B62" s="6"/>
      <c r="C62" s="742" t="s">
        <v>6239</v>
      </c>
      <c r="D62" s="742"/>
      <c r="E62" s="742"/>
      <c r="F62" s="742"/>
      <c r="G62" s="742"/>
      <c r="H62" s="742"/>
      <c r="I62" s="742"/>
    </row>
    <row r="63" customFormat="false" ht="15" hidden="false" customHeight="true" outlineLevel="0" collapsed="false">
      <c r="B63" s="6"/>
      <c r="C63" s="742" t="s">
        <v>6240</v>
      </c>
      <c r="D63" s="742"/>
      <c r="E63" s="742"/>
      <c r="F63" s="742"/>
      <c r="G63" s="742"/>
      <c r="H63" s="742"/>
      <c r="I63" s="742"/>
    </row>
    <row r="64" customFormat="false" ht="15" hidden="false" customHeight="true" outlineLevel="0" collapsed="false">
      <c r="B64" s="6"/>
      <c r="E64" s="6"/>
    </row>
    <row r="65" customFormat="false" ht="78.75" hidden="false" customHeight="true" outlineLevel="0" collapsed="false">
      <c r="B65" s="602" t="s">
        <v>6241</v>
      </c>
      <c r="C65" s="602"/>
      <c r="D65" s="602"/>
      <c r="E65" s="602"/>
      <c r="F65" s="602"/>
      <c r="G65" s="602"/>
      <c r="H65" s="602"/>
      <c r="I65" s="602"/>
    </row>
  </sheetData>
  <mergeCells count="22">
    <mergeCell ref="B2:F2"/>
    <mergeCell ref="G2:I2"/>
    <mergeCell ref="B3:I3"/>
    <mergeCell ref="B5:I5"/>
    <mergeCell ref="B15:I15"/>
    <mergeCell ref="B27:I27"/>
    <mergeCell ref="B38:I38"/>
    <mergeCell ref="B50:I50"/>
    <mergeCell ref="C51:I51"/>
    <mergeCell ref="C52:I52"/>
    <mergeCell ref="C53:I53"/>
    <mergeCell ref="C54:I54"/>
    <mergeCell ref="C55:I55"/>
    <mergeCell ref="C56:I56"/>
    <mergeCell ref="C57:I57"/>
    <mergeCell ref="C58:I58"/>
    <mergeCell ref="C59:I59"/>
    <mergeCell ref="C60:I60"/>
    <mergeCell ref="C61:I61"/>
    <mergeCell ref="C62:I62"/>
    <mergeCell ref="C63:I63"/>
    <mergeCell ref="B65:I65"/>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1" min="5" style="0" width="9"/>
  </cols>
  <sheetData>
    <row r="1" customFormat="false" ht="3.75" hidden="false" customHeight="true" outlineLevel="0" collapsed="false">
      <c r="B1" s="1"/>
      <c r="C1" s="1"/>
      <c r="D1" s="2"/>
      <c r="E1" s="2"/>
      <c r="F1" s="2"/>
      <c r="G1" s="2"/>
      <c r="H1" s="2"/>
      <c r="I1" s="2"/>
      <c r="J1" s="2"/>
      <c r="K1" s="2"/>
    </row>
    <row r="2" customFormat="false" ht="27.75" hidden="false" customHeight="true" outlineLevel="0" collapsed="false">
      <c r="B2" s="88" t="s">
        <v>6242</v>
      </c>
      <c r="C2" s="88"/>
      <c r="D2" s="88"/>
      <c r="E2" s="88"/>
      <c r="F2" s="88"/>
      <c r="G2" s="88"/>
      <c r="H2" s="89" t="s">
        <v>995</v>
      </c>
      <c r="I2" s="89"/>
      <c r="J2" s="89"/>
      <c r="K2" s="89"/>
    </row>
    <row r="3" customFormat="false" ht="18" hidden="false" customHeight="true" outlineLevel="0" collapsed="false">
      <c r="B3" s="90" t="s">
        <v>6243</v>
      </c>
      <c r="C3" s="90"/>
      <c r="D3" s="90"/>
      <c r="E3" s="90"/>
      <c r="F3" s="90"/>
      <c r="G3" s="90"/>
      <c r="H3" s="90"/>
      <c r="I3" s="90"/>
      <c r="J3" s="90"/>
      <c r="K3" s="90"/>
    </row>
    <row r="4" customFormat="false" ht="15" hidden="false" customHeight="true" outlineLevel="0" collapsed="false">
      <c r="B4" s="6"/>
      <c r="C4" s="6"/>
    </row>
    <row r="5" customFormat="false" ht="33.75" hidden="false" customHeight="true" outlineLevel="0" collapsed="false">
      <c r="B5" s="96" t="s">
        <v>6244</v>
      </c>
      <c r="C5" s="96"/>
      <c r="D5" s="96"/>
      <c r="E5" s="96"/>
      <c r="F5" s="96"/>
      <c r="G5" s="96"/>
      <c r="H5" s="96"/>
      <c r="I5" s="96"/>
      <c r="J5" s="96"/>
      <c r="K5" s="96"/>
    </row>
    <row r="6" customFormat="false" ht="21.75" hidden="false" customHeight="true" outlineLevel="0" collapsed="false">
      <c r="B6" s="97" t="s">
        <v>4477</v>
      </c>
      <c r="C6" s="99" t="s">
        <v>4478</v>
      </c>
      <c r="D6" s="98" t="s">
        <v>86</v>
      </c>
    </row>
    <row r="7" customFormat="false" ht="15" hidden="false" customHeight="true" outlineLevel="0" collapsed="false">
      <c r="B7" s="113" t="s">
        <v>6245</v>
      </c>
      <c r="C7" s="1404" t="n">
        <f aca="false">'Academy · Revenue'!E17</f>
        <v>1595070</v>
      </c>
      <c r="D7" s="634" t="s">
        <v>6246</v>
      </c>
    </row>
    <row r="8" customFormat="false" ht="15" hidden="false" customHeight="true" outlineLevel="0" collapsed="false">
      <c r="B8" s="113" t="s">
        <v>6247</v>
      </c>
      <c r="C8" s="1404" t="n">
        <f aca="false">'Academy · Costs'!C37</f>
        <v>1082048</v>
      </c>
      <c r="D8" s="634" t="s">
        <v>6248</v>
      </c>
    </row>
    <row r="9" customFormat="false" ht="15" hidden="false" customHeight="true" outlineLevel="0" collapsed="false">
      <c r="B9" s="113" t="s">
        <v>6249</v>
      </c>
      <c r="C9" s="1404" t="n">
        <f aca="false">'Academy · 8-Year'!C11</f>
        <v>1276056</v>
      </c>
      <c r="D9" s="634" t="s">
        <v>3457</v>
      </c>
    </row>
    <row r="10" customFormat="false" ht="15" hidden="false" customHeight="true" outlineLevel="0" collapsed="false">
      <c r="B10" s="113" t="s">
        <v>6250</v>
      </c>
      <c r="C10" s="1404" t="n">
        <f aca="false">'Academy · 8-Year'!D11</f>
        <v>1478629.89</v>
      </c>
      <c r="D10" s="634" t="s">
        <v>6251</v>
      </c>
    </row>
    <row r="11" customFormat="false" ht="15" hidden="false" customHeight="true" outlineLevel="0" collapsed="false">
      <c r="B11" s="113" t="s">
        <v>6252</v>
      </c>
      <c r="C11" s="1404" t="n">
        <f aca="false">'Academy · 8-Year'!E11</f>
        <v>1692209.763</v>
      </c>
      <c r="D11" s="634" t="s">
        <v>6253</v>
      </c>
    </row>
    <row r="12" customFormat="false" ht="15" hidden="false" customHeight="true" outlineLevel="0" collapsed="false">
      <c r="B12" s="113" t="s">
        <v>6254</v>
      </c>
      <c r="C12" s="1404" t="n">
        <f aca="false">'Academy · 8-Year'!F11</f>
        <v>1742976.05589</v>
      </c>
      <c r="D12" s="634" t="s">
        <v>137</v>
      </c>
    </row>
    <row r="13" customFormat="false" ht="15" hidden="false" customHeight="true" outlineLevel="0" collapsed="false">
      <c r="B13" s="113" t="s">
        <v>6255</v>
      </c>
      <c r="C13" s="1404" t="n">
        <f aca="false">'Academy · 8-Year'!G11</f>
        <v>1795265.3375667</v>
      </c>
      <c r="D13" s="634" t="s">
        <v>6256</v>
      </c>
    </row>
    <row r="14" customFormat="false" ht="15" hidden="false" customHeight="true" outlineLevel="0" collapsed="false">
      <c r="B14" s="6"/>
      <c r="C14" s="6"/>
    </row>
    <row r="15" customFormat="false" ht="15" hidden="false" customHeight="true" outlineLevel="0" collapsed="false">
      <c r="B15" s="6"/>
      <c r="C15" s="6"/>
    </row>
    <row r="16" customFormat="false" ht="21.75" hidden="false" customHeight="true" outlineLevel="0" collapsed="false">
      <c r="B16" s="72" t="s">
        <v>4495</v>
      </c>
      <c r="C16" s="72"/>
      <c r="D16" s="72"/>
      <c r="E16" s="72"/>
      <c r="F16" s="72"/>
      <c r="G16" s="72"/>
      <c r="H16" s="72"/>
      <c r="I16" s="72"/>
      <c r="J16" s="72"/>
      <c r="K16" s="72"/>
    </row>
    <row r="17" customFormat="false" ht="120" hidden="false" customHeight="true" outlineLevel="0" collapsed="false">
      <c r="B17" s="1398" t="s">
        <v>6257</v>
      </c>
      <c r="C17" s="1398"/>
      <c r="D17" s="1398"/>
    </row>
    <row r="18" customFormat="false" ht="15" hidden="false" customHeight="true" outlineLevel="0" collapsed="false">
      <c r="B18" s="1398"/>
      <c r="C18" s="1398"/>
      <c r="D18" s="1398"/>
    </row>
    <row r="19" customFormat="false" ht="15" hidden="false" customHeight="true" outlineLevel="0" collapsed="false">
      <c r="B19" s="1398"/>
      <c r="C19" s="1398"/>
      <c r="D19" s="1398"/>
    </row>
    <row r="20" customFormat="false" ht="15" hidden="false" customHeight="true" outlineLevel="0" collapsed="false">
      <c r="B20" s="1398"/>
      <c r="C20" s="1398"/>
      <c r="D20" s="1398"/>
    </row>
    <row r="21" customFormat="false" ht="15" hidden="false" customHeight="true" outlineLevel="0" collapsed="false">
      <c r="B21" s="1398"/>
      <c r="C21" s="1398"/>
      <c r="D21" s="1398"/>
    </row>
    <row r="22" customFormat="false" ht="15" hidden="false" customHeight="true" outlineLevel="0" collapsed="false">
      <c r="B22" s="6"/>
      <c r="C22" s="6"/>
    </row>
    <row r="23" customFormat="false" ht="21.75" hidden="false" customHeight="true" outlineLevel="0" collapsed="false">
      <c r="B23" s="304" t="s">
        <v>6258</v>
      </c>
      <c r="C23" s="304"/>
      <c r="D23" s="304"/>
      <c r="E23" s="304"/>
      <c r="F23" s="304"/>
      <c r="G23" s="304"/>
      <c r="H23" s="304"/>
      <c r="I23" s="304"/>
      <c r="J23" s="304"/>
      <c r="K23" s="304"/>
    </row>
    <row r="24" customFormat="false" ht="108.75" hidden="false" customHeight="true" outlineLevel="0" collapsed="false">
      <c r="B24" s="85" t="s">
        <v>6259</v>
      </c>
      <c r="C24" s="85"/>
      <c r="D24" s="85"/>
    </row>
    <row r="25" customFormat="false" ht="15" hidden="false" customHeight="true" outlineLevel="0" collapsed="false">
      <c r="B25" s="85"/>
      <c r="C25" s="85"/>
      <c r="D25" s="85"/>
    </row>
    <row r="26" customFormat="false" ht="15" hidden="false" customHeight="true" outlineLevel="0" collapsed="false">
      <c r="B26" s="85"/>
      <c r="C26" s="85"/>
      <c r="D26" s="85"/>
    </row>
  </sheetData>
  <mergeCells count="8">
    <mergeCell ref="B2:G2"/>
    <mergeCell ref="H2:K2"/>
    <mergeCell ref="B3:K3"/>
    <mergeCell ref="B5:K5"/>
    <mergeCell ref="B16:K16"/>
    <mergeCell ref="B17:D21"/>
    <mergeCell ref="B23:K23"/>
    <mergeCell ref="B24:D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false"/>
  </sheetPr>
  <dimension ref="B1:J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6" topLeftCell="B7" activePane="bottomRight" state="frozen"/>
      <selection pane="topLeft" activeCell="A1" activeCellId="0" sqref="A1"/>
      <selection pane="topRight" activeCell="B1" activeCellId="0" sqref="B1"/>
      <selection pane="bottomLeft" activeCell="A7" activeCellId="0" sqref="A7"/>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9" min="3" style="0" width="11"/>
    <col collapsed="false" customWidth="true" hidden="false" outlineLevel="0" max="10" min="10" style="0" width="9"/>
  </cols>
  <sheetData>
    <row r="1" customFormat="false" ht="3.75" hidden="false" customHeight="true" outlineLevel="0" collapsed="false">
      <c r="B1" s="1"/>
      <c r="C1" s="2"/>
      <c r="D1" s="2"/>
      <c r="E1" s="2"/>
      <c r="F1" s="2"/>
      <c r="G1" s="2"/>
      <c r="H1" s="2"/>
      <c r="I1" s="2"/>
    </row>
    <row r="2" customFormat="false" ht="27.75" hidden="false" customHeight="true" outlineLevel="0" collapsed="false">
      <c r="B2" s="15" t="s">
        <v>6260</v>
      </c>
      <c r="C2" s="15"/>
      <c r="D2" s="15"/>
      <c r="E2" s="15"/>
      <c r="F2" s="15"/>
      <c r="G2" s="89" t="s">
        <v>995</v>
      </c>
      <c r="H2" s="89"/>
      <c r="I2" s="89"/>
    </row>
    <row r="3" customFormat="false" ht="33.75" hidden="false" customHeight="true" outlineLevel="0" collapsed="false">
      <c r="B3" s="529" t="s">
        <v>6261</v>
      </c>
      <c r="C3" s="529"/>
      <c r="D3" s="529"/>
      <c r="E3" s="529"/>
      <c r="F3" s="529"/>
      <c r="G3" s="529"/>
      <c r="H3" s="529"/>
      <c r="I3" s="529"/>
    </row>
    <row r="4" customFormat="false" ht="15" hidden="false" customHeight="true" outlineLevel="0" collapsed="false">
      <c r="B4" s="6"/>
    </row>
    <row r="5" customFormat="false" ht="21.75" hidden="false" customHeight="true" outlineLevel="0" collapsed="false">
      <c r="B5" s="575" t="s">
        <v>6262</v>
      </c>
      <c r="C5" s="575"/>
      <c r="D5" s="575"/>
      <c r="E5" s="575"/>
      <c r="F5" s="575"/>
      <c r="G5" s="575"/>
      <c r="H5" s="575"/>
      <c r="I5" s="575"/>
    </row>
    <row r="6" customFormat="false" ht="21.75" hidden="false" customHeight="true" outlineLevel="0" collapsed="false">
      <c r="B6" s="99" t="s">
        <v>6263</v>
      </c>
      <c r="C6" s="98" t="s">
        <v>3734</v>
      </c>
      <c r="D6" s="98" t="s">
        <v>3735</v>
      </c>
      <c r="E6" s="98" t="s">
        <v>3736</v>
      </c>
      <c r="F6" s="98" t="s">
        <v>3737</v>
      </c>
      <c r="G6" s="98" t="s">
        <v>3738</v>
      </c>
      <c r="H6" s="98" t="s">
        <v>3739</v>
      </c>
      <c r="I6" s="98" t="s">
        <v>3740</v>
      </c>
    </row>
    <row r="7" customFormat="false" ht="63.75" hidden="false" customHeight="true" outlineLevel="0" collapsed="false">
      <c r="B7" s="1405" t="s">
        <v>6264</v>
      </c>
      <c r="C7" s="1406" t="s">
        <v>6265</v>
      </c>
      <c r="D7" s="1407" t="s">
        <v>6266</v>
      </c>
      <c r="E7" s="1406" t="s">
        <v>6265</v>
      </c>
      <c r="F7" s="1407" t="s">
        <v>6266</v>
      </c>
      <c r="G7" s="1407" t="s">
        <v>6267</v>
      </c>
      <c r="H7" s="1408" t="s">
        <v>6268</v>
      </c>
      <c r="I7" s="1409" t="s">
        <v>672</v>
      </c>
    </row>
    <row r="8" customFormat="false" ht="63.75" hidden="false" customHeight="true" outlineLevel="0" collapsed="false">
      <c r="B8" s="1405" t="s">
        <v>6269</v>
      </c>
      <c r="C8" s="1406" t="s">
        <v>6265</v>
      </c>
      <c r="D8" s="1408" t="s">
        <v>6270</v>
      </c>
      <c r="E8" s="1407" t="s">
        <v>6271</v>
      </c>
      <c r="F8" s="1406" t="s">
        <v>6265</v>
      </c>
      <c r="G8" s="1406" t="s">
        <v>6265</v>
      </c>
      <c r="H8" s="1408" t="s">
        <v>6272</v>
      </c>
      <c r="I8" s="1409" t="s">
        <v>672</v>
      </c>
    </row>
    <row r="9" customFormat="false" ht="63.75" hidden="false" customHeight="true" outlineLevel="0" collapsed="false">
      <c r="B9" s="1405" t="s">
        <v>6273</v>
      </c>
      <c r="C9" s="1406" t="s">
        <v>6265</v>
      </c>
      <c r="D9" s="1406" t="s">
        <v>6265</v>
      </c>
      <c r="E9" s="1406" t="s">
        <v>6265</v>
      </c>
      <c r="F9" s="1406" t="s">
        <v>6265</v>
      </c>
      <c r="G9" s="1409" t="s">
        <v>672</v>
      </c>
      <c r="H9" s="1410" t="s">
        <v>6274</v>
      </c>
      <c r="I9" s="1409" t="s">
        <v>672</v>
      </c>
    </row>
    <row r="10" customFormat="false" ht="63.75" hidden="false" customHeight="true" outlineLevel="0" collapsed="false">
      <c r="B10" s="1405" t="s">
        <v>6275</v>
      </c>
      <c r="C10" s="1410" t="s">
        <v>6276</v>
      </c>
      <c r="D10" s="1410" t="s">
        <v>6277</v>
      </c>
      <c r="E10" s="1410" t="s">
        <v>6276</v>
      </c>
      <c r="F10" s="1410" t="s">
        <v>6277</v>
      </c>
      <c r="G10" s="1409" t="s">
        <v>672</v>
      </c>
      <c r="H10" s="1410" t="s">
        <v>6278</v>
      </c>
      <c r="I10" s="1409" t="s">
        <v>672</v>
      </c>
    </row>
    <row r="11" customFormat="false" ht="63.75" hidden="false" customHeight="true" outlineLevel="0" collapsed="false">
      <c r="B11" s="1405" t="s">
        <v>6279</v>
      </c>
      <c r="C11" s="1410" t="s">
        <v>6280</v>
      </c>
      <c r="D11" s="1410" t="s">
        <v>6281</v>
      </c>
      <c r="E11" s="1410" t="s">
        <v>6280</v>
      </c>
      <c r="F11" s="1410" t="s">
        <v>6281</v>
      </c>
      <c r="G11" s="1409" t="s">
        <v>672</v>
      </c>
      <c r="H11" s="1410" t="s">
        <v>6282</v>
      </c>
      <c r="I11" s="1409" t="s">
        <v>672</v>
      </c>
    </row>
    <row r="12" customFormat="false" ht="63.75" hidden="false" customHeight="true" outlineLevel="0" collapsed="false">
      <c r="B12" s="1405" t="s">
        <v>6283</v>
      </c>
      <c r="C12" s="1408" t="s">
        <v>6284</v>
      </c>
      <c r="D12" s="1408" t="s">
        <v>6285</v>
      </c>
      <c r="E12" s="1408" t="s">
        <v>6286</v>
      </c>
      <c r="F12" s="1408" t="s">
        <v>6285</v>
      </c>
      <c r="G12" s="1409" t="s">
        <v>672</v>
      </c>
      <c r="H12" s="1408" t="s">
        <v>6287</v>
      </c>
      <c r="I12" s="1409" t="s">
        <v>672</v>
      </c>
    </row>
    <row r="13" customFormat="false" ht="15" hidden="false" customHeight="true" outlineLevel="0" collapsed="false">
      <c r="B13" s="6"/>
    </row>
    <row r="14" customFormat="false" ht="15" hidden="false" customHeight="true" outlineLevel="0" collapsed="false">
      <c r="B14" s="6"/>
    </row>
    <row r="15" customFormat="false" ht="33.75" hidden="false" customHeight="true" outlineLevel="0" collapsed="false">
      <c r="B15" s="575" t="s">
        <v>6288</v>
      </c>
      <c r="C15" s="575"/>
      <c r="D15" s="575"/>
      <c r="E15" s="575"/>
      <c r="F15" s="575"/>
      <c r="G15" s="575"/>
      <c r="H15" s="575"/>
      <c r="I15" s="575"/>
    </row>
    <row r="16" customFormat="false" ht="21.75" hidden="false" customHeight="true" outlineLevel="0" collapsed="false">
      <c r="B16" s="97" t="s">
        <v>206</v>
      </c>
      <c r="C16" s="98" t="s">
        <v>6289</v>
      </c>
      <c r="D16" s="98" t="s">
        <v>6290</v>
      </c>
      <c r="E16" s="98" t="s">
        <v>4141</v>
      </c>
      <c r="F16" s="98" t="s">
        <v>669</v>
      </c>
    </row>
    <row r="17" customFormat="false" ht="15" hidden="false" customHeight="true" outlineLevel="0" collapsed="false">
      <c r="B17" s="1160" t="s">
        <v>6291</v>
      </c>
      <c r="C17" s="1237" t="n">
        <v>23</v>
      </c>
      <c r="D17" s="1411" t="n">
        <f aca="false">'Academy · Drivers'!C28*'Academy · Drivers'!C29/4.33</f>
        <v>18.013856812933</v>
      </c>
      <c r="E17" s="1412" t="n">
        <f aca="false">C17-D17</f>
        <v>4.98614318706698</v>
      </c>
      <c r="F17" s="455" t="str">
        <f aca="false">IF(ABS(E17)&lt;=2,"✓ within ±2 sessions","⚠ off by "&amp;TEXT(E17,"0.0"))</f>
        <v>⚠ off by 5.0</v>
      </c>
    </row>
    <row r="18" customFormat="false" ht="15" hidden="false" customHeight="true" outlineLevel="0" collapsed="false">
      <c r="B18" s="1160" t="s">
        <v>6292</v>
      </c>
      <c r="C18" s="1237" t="n">
        <v>384</v>
      </c>
      <c r="D18" s="1413" t="n">
        <f aca="false">'Academy · Drivers'!C56/4.33</f>
        <v>360.277136258661</v>
      </c>
      <c r="E18" s="1414" t="n">
        <f aca="false">C18-D18</f>
        <v>23.7228637413395</v>
      </c>
      <c r="F18" s="455" t="str">
        <f aca="false">IF(ABS(E18)&lt;=20,"✓ within ±20","⚠ off by "&amp;TEXT(E18,"0"))</f>
        <v>⚠ off by 24</v>
      </c>
    </row>
    <row r="19" customFormat="false" ht="33.75" hidden="false" customHeight="true" outlineLevel="0" collapsed="false">
      <c r="B19" s="1160" t="s">
        <v>6293</v>
      </c>
      <c r="C19" s="1415" t="n">
        <f aca="false">C18*4.33/'Academy · Drivers'!C49</f>
        <v>0.0342275579269799</v>
      </c>
      <c r="D19" s="690" t="s">
        <v>6294</v>
      </c>
      <c r="F19" s="455" t="str">
        <f aca="false">IF(C19&lt;=0.85,"✓ within capacity","⚠ over 85%")</f>
        <v>✓ within capacity</v>
      </c>
    </row>
    <row r="20" customFormat="false" ht="33.75" hidden="false" customHeight="true" outlineLevel="0" collapsed="false">
      <c r="B20" s="1160" t="s">
        <v>6295</v>
      </c>
      <c r="C20" s="1415" t="n">
        <v>0.033625730994152</v>
      </c>
      <c r="D20" s="690" t="s">
        <v>6296</v>
      </c>
      <c r="F20" s="433" t="s">
        <v>6297</v>
      </c>
    </row>
    <row r="21" customFormat="false" ht="15" hidden="false" customHeight="true" outlineLevel="0" collapsed="false">
      <c r="B21" s="6"/>
    </row>
    <row r="22" customFormat="false" ht="15" hidden="false" customHeight="true" outlineLevel="0" collapsed="false">
      <c r="B22" s="6"/>
    </row>
    <row r="23" customFormat="false" ht="33.75" hidden="false" customHeight="true" outlineLevel="0" collapsed="false">
      <c r="B23" s="575" t="s">
        <v>6298</v>
      </c>
      <c r="C23" s="575"/>
      <c r="D23" s="575"/>
      <c r="E23" s="575"/>
      <c r="F23" s="575"/>
      <c r="G23" s="575"/>
      <c r="H23" s="575"/>
      <c r="I23" s="575"/>
    </row>
    <row r="24" customFormat="false" ht="21.75" hidden="false" customHeight="true" outlineLevel="0" collapsed="false">
      <c r="B24" s="97" t="s">
        <v>6299</v>
      </c>
      <c r="C24" s="98" t="s">
        <v>6300</v>
      </c>
      <c r="D24" s="98" t="s">
        <v>6301</v>
      </c>
      <c r="E24" s="98" t="s">
        <v>6302</v>
      </c>
      <c r="F24" s="98" t="s">
        <v>6303</v>
      </c>
      <c r="G24" s="98" t="s">
        <v>669</v>
      </c>
    </row>
    <row r="25" customFormat="false" ht="15" hidden="false" customHeight="true" outlineLevel="0" collapsed="false">
      <c r="B25" s="1160" t="s">
        <v>6304</v>
      </c>
      <c r="C25" s="1235" t="n">
        <v>3</v>
      </c>
      <c r="D25" s="1235" t="n">
        <v>60</v>
      </c>
      <c r="E25" s="1416" t="n">
        <v>6</v>
      </c>
      <c r="F25" s="1415" t="n">
        <v>0.2</v>
      </c>
      <c r="G25" s="1417" t="s">
        <v>6305</v>
      </c>
    </row>
    <row r="26" customFormat="false" ht="15" hidden="false" customHeight="true" outlineLevel="0" collapsed="false">
      <c r="B26" s="1160" t="s">
        <v>6306</v>
      </c>
      <c r="C26" s="1235" t="n">
        <v>3</v>
      </c>
      <c r="D26" s="1235" t="n">
        <v>58</v>
      </c>
      <c r="E26" s="1416" t="n">
        <v>6</v>
      </c>
      <c r="F26" s="1415" t="n">
        <v>0.2</v>
      </c>
      <c r="G26" s="1417" t="s">
        <v>6305</v>
      </c>
    </row>
    <row r="27" customFormat="false" ht="15" hidden="false" customHeight="true" outlineLevel="0" collapsed="false">
      <c r="B27" s="1160" t="s">
        <v>6307</v>
      </c>
      <c r="C27" s="1235" t="n">
        <v>5</v>
      </c>
      <c r="D27" s="1235" t="n">
        <v>92</v>
      </c>
      <c r="E27" s="1416" t="n">
        <v>10</v>
      </c>
      <c r="F27" s="1415" t="n">
        <v>0.333333333333333</v>
      </c>
      <c r="G27" s="1417" t="s">
        <v>6305</v>
      </c>
    </row>
    <row r="28" customFormat="false" ht="15" hidden="false" customHeight="true" outlineLevel="0" collapsed="false">
      <c r="B28" s="1160" t="s">
        <v>6308</v>
      </c>
      <c r="C28" s="1235" t="n">
        <v>2</v>
      </c>
      <c r="D28" s="1235" t="n">
        <v>52</v>
      </c>
      <c r="E28" s="1416" t="n">
        <v>4</v>
      </c>
      <c r="F28" s="1415" t="n">
        <v>0.133333333333333</v>
      </c>
      <c r="G28" s="1417" t="s">
        <v>6305</v>
      </c>
    </row>
    <row r="29" customFormat="false" ht="15" hidden="false" customHeight="true" outlineLevel="0" collapsed="false">
      <c r="B29" s="1160" t="s">
        <v>6309</v>
      </c>
      <c r="C29" s="1235" t="n">
        <v>6</v>
      </c>
      <c r="D29" s="1235" t="n">
        <v>92</v>
      </c>
      <c r="E29" s="1416" t="n">
        <v>12</v>
      </c>
      <c r="F29" s="1415" t="n">
        <v>0.4</v>
      </c>
      <c r="G29" s="1417" t="s">
        <v>6305</v>
      </c>
    </row>
    <row r="30" customFormat="false" ht="15" hidden="false" customHeight="true" outlineLevel="0" collapsed="false">
      <c r="B30" s="1224" t="s">
        <v>810</v>
      </c>
      <c r="C30" s="1418" t="n">
        <f aca="false">SUM(C25:C29)</f>
        <v>19</v>
      </c>
      <c r="D30" s="1418" t="n">
        <f aca="false">SUM(D25:D29)</f>
        <v>354</v>
      </c>
      <c r="E30" s="1419" t="n">
        <f aca="false">SUM(E25:E29)</f>
        <v>38</v>
      </c>
      <c r="F30" s="539" t="n">
        <f aca="false">AVERAGE(F25:F29)</f>
        <v>0.253333333333333</v>
      </c>
    </row>
    <row r="31" customFormat="false" ht="15" hidden="false" customHeight="true" outlineLevel="0" collapsed="false">
      <c r="B31" s="6"/>
    </row>
    <row r="32" customFormat="false" ht="15" hidden="false" customHeight="true" outlineLevel="0" collapsed="false">
      <c r="B32" s="6"/>
    </row>
    <row r="33" customFormat="false" ht="33.75" hidden="false" customHeight="true" outlineLevel="0" collapsed="false">
      <c r="B33" s="575" t="s">
        <v>6310</v>
      </c>
      <c r="C33" s="575"/>
      <c r="D33" s="575"/>
      <c r="E33" s="575"/>
      <c r="F33" s="575"/>
      <c r="G33" s="575"/>
      <c r="H33" s="575"/>
      <c r="I33" s="575"/>
    </row>
    <row r="34" customFormat="false" ht="21.75" hidden="false" customHeight="true" outlineLevel="0" collapsed="false">
      <c r="B34" s="97" t="s">
        <v>6311</v>
      </c>
      <c r="C34" s="98" t="s">
        <v>6300</v>
      </c>
      <c r="D34" s="98" t="s">
        <v>6312</v>
      </c>
      <c r="E34" s="98" t="s">
        <v>6313</v>
      </c>
      <c r="F34" s="98" t="s">
        <v>5075</v>
      </c>
      <c r="G34" s="98" t="s">
        <v>669</v>
      </c>
    </row>
    <row r="35" customFormat="false" ht="15" hidden="false" customHeight="true" outlineLevel="0" collapsed="false">
      <c r="B35" s="1160" t="s">
        <v>6314</v>
      </c>
      <c r="C35" s="1235" t="n">
        <v>2</v>
      </c>
      <c r="D35" s="1416" t="n">
        <v>4</v>
      </c>
      <c r="E35" s="1420" t="n">
        <v>72</v>
      </c>
      <c r="F35" s="1415" t="n">
        <v>0.0555555555555556</v>
      </c>
      <c r="G35" s="1421" t="s">
        <v>6305</v>
      </c>
      <c r="H35" s="314"/>
      <c r="I35" s="314"/>
      <c r="J35" s="314"/>
    </row>
    <row r="36" customFormat="false" ht="15" hidden="false" customHeight="true" outlineLevel="0" collapsed="false">
      <c r="B36" s="1160" t="s">
        <v>6315</v>
      </c>
      <c r="C36" s="1235" t="n">
        <v>0</v>
      </c>
      <c r="D36" s="1416" t="n">
        <v>0</v>
      </c>
      <c r="E36" s="1420" t="n">
        <v>72</v>
      </c>
      <c r="F36" s="1415" t="n">
        <v>0</v>
      </c>
      <c r="G36" s="1421" t="s">
        <v>6316</v>
      </c>
      <c r="H36" s="314"/>
      <c r="I36" s="314"/>
      <c r="J36" s="314"/>
    </row>
    <row r="37" customFormat="false" ht="15" hidden="false" customHeight="true" outlineLevel="0" collapsed="false">
      <c r="B37" s="1160" t="s">
        <v>6317</v>
      </c>
      <c r="C37" s="1235" t="n">
        <v>11</v>
      </c>
      <c r="D37" s="1416" t="n">
        <v>22</v>
      </c>
      <c r="E37" s="1420" t="n">
        <v>216</v>
      </c>
      <c r="F37" s="1415" t="n">
        <v>0.101851851851852</v>
      </c>
      <c r="G37" s="1422" t="s">
        <v>6318</v>
      </c>
      <c r="H37" s="314"/>
      <c r="I37" s="314"/>
      <c r="J37" s="314"/>
    </row>
    <row r="38" customFormat="false" ht="15" hidden="false" customHeight="true" outlineLevel="0" collapsed="false">
      <c r="B38" s="1160" t="s">
        <v>6319</v>
      </c>
      <c r="C38" s="1235" t="n">
        <v>2</v>
      </c>
      <c r="D38" s="1416" t="n">
        <v>4</v>
      </c>
      <c r="E38" s="1420" t="n">
        <v>216</v>
      </c>
      <c r="F38" s="1415" t="n">
        <v>0.0185185185185185</v>
      </c>
      <c r="G38" s="1421" t="s">
        <v>6305</v>
      </c>
      <c r="H38" s="314"/>
      <c r="I38" s="314"/>
      <c r="J38" s="314"/>
    </row>
    <row r="39" customFormat="false" ht="15" hidden="false" customHeight="true" outlineLevel="0" collapsed="false">
      <c r="B39" s="1160" t="s">
        <v>6320</v>
      </c>
      <c r="C39" s="1235" t="n">
        <v>1</v>
      </c>
      <c r="D39" s="1416" t="n">
        <v>2</v>
      </c>
      <c r="E39" s="1420" t="n">
        <v>72</v>
      </c>
      <c r="F39" s="1415" t="n">
        <v>0.0277777777777778</v>
      </c>
      <c r="G39" s="1421" t="s">
        <v>6305</v>
      </c>
      <c r="H39" s="314"/>
      <c r="I39" s="314"/>
      <c r="J39" s="314"/>
    </row>
    <row r="40" customFormat="false" ht="15" hidden="false" customHeight="true" outlineLevel="0" collapsed="false">
      <c r="B40" s="1160" t="s">
        <v>6321</v>
      </c>
      <c r="C40" s="1235" t="n">
        <v>1</v>
      </c>
      <c r="D40" s="1416" t="n">
        <v>2</v>
      </c>
      <c r="E40" s="1420" t="n">
        <v>72</v>
      </c>
      <c r="F40" s="1415" t="n">
        <v>0.0277777777777778</v>
      </c>
      <c r="G40" s="1421" t="s">
        <v>6305</v>
      </c>
      <c r="H40" s="314"/>
      <c r="I40" s="314"/>
      <c r="J40" s="314"/>
    </row>
    <row r="41" customFormat="false" ht="15" hidden="false" customHeight="true" outlineLevel="0" collapsed="false">
      <c r="B41" s="1160" t="s">
        <v>6322</v>
      </c>
      <c r="C41" s="1235" t="n">
        <v>1</v>
      </c>
      <c r="D41" s="1416" t="n">
        <v>2</v>
      </c>
      <c r="E41" s="1420" t="n">
        <v>72</v>
      </c>
      <c r="F41" s="1415" t="n">
        <v>0.0277777777777778</v>
      </c>
      <c r="G41" s="1421" t="s">
        <v>6305</v>
      </c>
      <c r="H41" s="314"/>
      <c r="I41" s="314"/>
      <c r="J41" s="314"/>
    </row>
    <row r="42" customFormat="false" ht="15" hidden="false" customHeight="true" outlineLevel="0" collapsed="false">
      <c r="B42" s="1160" t="s">
        <v>6323</v>
      </c>
      <c r="C42" s="1235" t="n">
        <v>1</v>
      </c>
      <c r="D42" s="1416" t="n">
        <v>2</v>
      </c>
      <c r="E42" s="1420" t="n">
        <v>72</v>
      </c>
      <c r="F42" s="1415" t="n">
        <v>0.0277777777777778</v>
      </c>
      <c r="G42" s="1421" t="s">
        <v>6305</v>
      </c>
      <c r="H42" s="314"/>
      <c r="I42" s="314"/>
      <c r="J42" s="314"/>
    </row>
    <row r="43" customFormat="false" ht="15" hidden="false" customHeight="true" outlineLevel="0" collapsed="false">
      <c r="B43" s="1160" t="s">
        <v>6324</v>
      </c>
      <c r="C43" s="1235" t="n">
        <v>2</v>
      </c>
      <c r="D43" s="1416" t="n">
        <v>4</v>
      </c>
      <c r="E43" s="1420" t="n">
        <v>72</v>
      </c>
      <c r="F43" s="1415" t="n">
        <v>0.0555555555555556</v>
      </c>
      <c r="G43" s="1421" t="s">
        <v>6305</v>
      </c>
      <c r="H43" s="314"/>
      <c r="I43" s="314"/>
      <c r="J43" s="314"/>
    </row>
    <row r="44" customFormat="false" ht="15" hidden="false" customHeight="true" outlineLevel="0" collapsed="false">
      <c r="B44" s="1160" t="s">
        <v>6325</v>
      </c>
      <c r="C44" s="1235" t="n">
        <v>2</v>
      </c>
      <c r="D44" s="1416" t="n">
        <v>4</v>
      </c>
      <c r="E44" s="1420" t="n">
        <v>72</v>
      </c>
      <c r="F44" s="1415" t="n">
        <v>0.0555555555555556</v>
      </c>
      <c r="G44" s="1421" t="s">
        <v>6305</v>
      </c>
      <c r="H44" s="314"/>
      <c r="I44" s="314"/>
      <c r="J44" s="314"/>
    </row>
    <row r="45" customFormat="false" ht="15" hidden="false" customHeight="true" outlineLevel="0" collapsed="false">
      <c r="B45" s="1160" t="s">
        <v>6326</v>
      </c>
      <c r="C45" s="1235" t="n">
        <v>0</v>
      </c>
      <c r="D45" s="1416" t="n">
        <v>0</v>
      </c>
      <c r="E45" s="1420" t="n">
        <v>72</v>
      </c>
      <c r="F45" s="1415" t="n">
        <v>0</v>
      </c>
      <c r="G45" s="1421" t="s">
        <v>6327</v>
      </c>
      <c r="H45" s="314"/>
      <c r="I45" s="314"/>
      <c r="J45" s="314"/>
    </row>
    <row r="46" customFormat="false" ht="15" hidden="false" customHeight="true" outlineLevel="0" collapsed="false">
      <c r="B46" s="1160" t="s">
        <v>6328</v>
      </c>
      <c r="C46" s="1235" t="n">
        <v>0</v>
      </c>
      <c r="D46" s="1416" t="n">
        <v>0</v>
      </c>
      <c r="E46" s="1420" t="n">
        <v>72</v>
      </c>
      <c r="F46" s="1415" t="n">
        <v>0</v>
      </c>
      <c r="G46" s="1421" t="s">
        <v>6327</v>
      </c>
      <c r="H46" s="314"/>
      <c r="I46" s="314"/>
      <c r="J46" s="314"/>
    </row>
    <row r="47" customFormat="false" ht="15" hidden="false" customHeight="true" outlineLevel="0" collapsed="false">
      <c r="B47" s="1160" t="s">
        <v>6329</v>
      </c>
      <c r="C47" s="1235" t="n">
        <v>0</v>
      </c>
      <c r="D47" s="1416" t="n">
        <v>0</v>
      </c>
      <c r="E47" s="1420" t="n">
        <v>216</v>
      </c>
      <c r="F47" s="1415" t="n">
        <v>0</v>
      </c>
      <c r="G47" s="1421" t="s">
        <v>6327</v>
      </c>
      <c r="H47" s="314"/>
      <c r="I47" s="314"/>
      <c r="J47" s="314"/>
    </row>
    <row r="48" customFormat="false" ht="15" hidden="false" customHeight="true" outlineLevel="0" collapsed="false">
      <c r="B48" s="1224" t="s">
        <v>6330</v>
      </c>
      <c r="C48" s="1418" t="n">
        <f aca="false">SUM(C35:C47)</f>
        <v>23</v>
      </c>
      <c r="D48" s="1419" t="n">
        <f aca="false">SUM(D35:D47)</f>
        <v>46</v>
      </c>
      <c r="E48" s="1419" t="n">
        <v>1368</v>
      </c>
      <c r="F48" s="539" t="n">
        <f aca="false">D48/E48</f>
        <v>0.033625730994152</v>
      </c>
      <c r="G48" s="314"/>
      <c r="H48" s="314"/>
      <c r="I48" s="314"/>
      <c r="J48" s="314"/>
    </row>
    <row r="49" customFormat="false" ht="15" hidden="false" customHeight="true" outlineLevel="0" collapsed="false">
      <c r="B49" s="6"/>
    </row>
    <row r="50" customFormat="false" ht="21.75" hidden="false" customHeight="true" outlineLevel="0" collapsed="false">
      <c r="B50" s="43" t="s">
        <v>6331</v>
      </c>
      <c r="C50" s="43"/>
      <c r="D50" s="43"/>
      <c r="E50" s="43"/>
      <c r="F50" s="43"/>
      <c r="G50" s="43"/>
      <c r="H50" s="43"/>
      <c r="I50" s="43"/>
    </row>
    <row r="51" customFormat="false" ht="120" hidden="false" customHeight="true" outlineLevel="0" collapsed="false">
      <c r="B51" s="1423" t="s">
        <v>6332</v>
      </c>
      <c r="C51" s="1423"/>
      <c r="D51" s="1423"/>
      <c r="E51" s="1423"/>
      <c r="F51" s="1423"/>
      <c r="G51" s="1423"/>
      <c r="H51" s="1423"/>
      <c r="I51" s="1423"/>
    </row>
    <row r="52" customFormat="false" ht="15" hidden="false" customHeight="true" outlineLevel="0" collapsed="false">
      <c r="B52" s="6"/>
    </row>
    <row r="53" customFormat="false" ht="120" hidden="false" customHeight="true" outlineLevel="0" collapsed="false">
      <c r="B53" s="134" t="s">
        <v>6333</v>
      </c>
      <c r="C53" s="134"/>
      <c r="D53" s="134"/>
      <c r="E53" s="134"/>
      <c r="F53" s="134"/>
      <c r="G53" s="134"/>
      <c r="H53" s="134"/>
      <c r="I53" s="134"/>
    </row>
    <row r="54" customFormat="false" ht="15" hidden="false" customHeight="true" outlineLevel="0" collapsed="false">
      <c r="B54" s="6"/>
    </row>
    <row r="55" customFormat="false" ht="108.75" hidden="false" customHeight="true" outlineLevel="0" collapsed="false">
      <c r="B55" s="134" t="s">
        <v>6334</v>
      </c>
      <c r="C55" s="134"/>
      <c r="D55" s="134"/>
      <c r="E55" s="134"/>
      <c r="F55" s="134"/>
      <c r="G55" s="134"/>
      <c r="H55" s="134"/>
      <c r="I55" s="134"/>
    </row>
  </sheetData>
  <mergeCells count="11">
    <mergeCell ref="B2:F2"/>
    <mergeCell ref="G2:I2"/>
    <mergeCell ref="B3:I3"/>
    <mergeCell ref="B5:I5"/>
    <mergeCell ref="B15:I15"/>
    <mergeCell ref="B23:I23"/>
    <mergeCell ref="B33:I33"/>
    <mergeCell ref="B50:I50"/>
    <mergeCell ref="B51:I51"/>
    <mergeCell ref="B53:I53"/>
    <mergeCell ref="B55:I55"/>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15" t="s">
        <v>6335</v>
      </c>
      <c r="C2" s="15"/>
      <c r="D2" s="15"/>
      <c r="E2" s="15"/>
      <c r="F2" s="15"/>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'Esports · Revenue'!E12</f>
        <v>693656.4</v>
      </c>
      <c r="D7" s="1155" t="n">
        <f aca="false">'Esports · Costs'!C23</f>
        <v>215998.4</v>
      </c>
      <c r="E7" s="577" t="n">
        <f aca="false">'Esports · Costs'!C36</f>
        <v>477658</v>
      </c>
      <c r="F7" s="1156" t="n">
        <f aca="false">'Esports · Costs'!C36/'Esports · Revenue'!E12</f>
        <v>0.688608942410104</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'Esports · Revenue'!E12*I9</f>
        <v>693656.4</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160" t="s">
        <v>6336</v>
      </c>
      <c r="C13" s="1161" t="n">
        <f aca="false">'Esports · Revenue'!E7</f>
        <v>348620.4</v>
      </c>
      <c r="D13" s="572" t="n">
        <f aca="false">C13/'Esports · Revenue'!E12</f>
        <v>0.502583699941354</v>
      </c>
      <c r="E13" s="314"/>
      <c r="F13" s="314"/>
      <c r="G13" s="314"/>
      <c r="H13" s="314"/>
      <c r="I13" s="314"/>
      <c r="J13" s="314"/>
    </row>
    <row r="14" customFormat="false" ht="15" hidden="false" customHeight="true" outlineLevel="0" collapsed="false">
      <c r="A14" s="314"/>
      <c r="B14" s="1160" t="s">
        <v>6337</v>
      </c>
      <c r="C14" s="1161" t="n">
        <f aca="false">'Esports · Revenue'!E8</f>
        <v>50400</v>
      </c>
      <c r="D14" s="572" t="n">
        <f aca="false">C14/'Esports · Revenue'!E12</f>
        <v>0.0726584516483954</v>
      </c>
      <c r="E14" s="314"/>
      <c r="F14" s="314"/>
      <c r="G14" s="314"/>
      <c r="H14" s="314"/>
      <c r="I14" s="314"/>
      <c r="J14" s="314"/>
    </row>
    <row r="15" customFormat="false" ht="21.75" hidden="false" customHeight="true" outlineLevel="0" collapsed="false">
      <c r="A15" s="314"/>
      <c r="B15" s="1160" t="s">
        <v>6338</v>
      </c>
      <c r="C15" s="1161" t="n">
        <f aca="false">'Esports · Revenue'!E9</f>
        <v>132300</v>
      </c>
      <c r="D15" s="572" t="n">
        <f aca="false">C15/'Esports · Revenue'!E12</f>
        <v>0.190728435577038</v>
      </c>
      <c r="E15" s="314"/>
      <c r="F15" s="314"/>
      <c r="G15" s="314"/>
      <c r="H15" s="314"/>
      <c r="I15" s="314"/>
      <c r="J15" s="314"/>
    </row>
    <row r="16" customFormat="false" ht="18" hidden="false" customHeight="true" outlineLevel="0" collapsed="false">
      <c r="A16" s="314"/>
      <c r="B16" s="1160" t="s">
        <v>6339</v>
      </c>
      <c r="C16" s="1161" t="n">
        <f aca="false">'Esports · Revenue'!E10</f>
        <v>42336</v>
      </c>
      <c r="D16" s="572" t="n">
        <f aca="false">C16/'Esports · Revenue'!E12</f>
        <v>0.0610330993846521</v>
      </c>
      <c r="E16" s="314"/>
      <c r="F16" s="314"/>
      <c r="G16" s="314"/>
      <c r="H16" s="314"/>
      <c r="I16" s="314"/>
      <c r="J16" s="314"/>
    </row>
    <row r="17" customFormat="false" ht="18" hidden="false" customHeight="true" outlineLevel="0" collapsed="false">
      <c r="A17" s="314"/>
      <c r="B17" s="1160" t="s">
        <v>6340</v>
      </c>
      <c r="C17" s="1161" t="n">
        <f aca="false">'Esports · Revenue'!E11</f>
        <v>120000</v>
      </c>
      <c r="D17" s="572" t="n">
        <f aca="false">C17/'Esports · Revenue'!E12</f>
        <v>0.17299631344856</v>
      </c>
      <c r="E17" s="314"/>
      <c r="F17" s="314"/>
      <c r="G17" s="314"/>
      <c r="H17" s="314"/>
      <c r="I17" s="314"/>
      <c r="J17" s="314"/>
    </row>
    <row r="18" customFormat="false" ht="24" hidden="false" customHeight="true" outlineLevel="0" collapsed="false">
      <c r="A18" s="314"/>
      <c r="B18" s="117" t="s">
        <v>3455</v>
      </c>
      <c r="C18" s="546" t="n">
        <f aca="false">'Esports · Revenue'!E12</f>
        <v>693656.4</v>
      </c>
      <c r="D18" s="1162" t="n">
        <v>1</v>
      </c>
      <c r="E18" s="314"/>
      <c r="F18" s="314"/>
      <c r="G18" s="314"/>
      <c r="H18" s="314"/>
      <c r="I18" s="314"/>
      <c r="J18" s="314"/>
    </row>
    <row r="19" customFormat="false" ht="18" hidden="false" customHeight="true" outlineLevel="0" collapsed="false">
      <c r="A19" s="314"/>
      <c r="B19" s="317"/>
      <c r="C19" s="317"/>
      <c r="D19" s="317"/>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8" hidden="false" customHeight="true" outlineLevel="0" collapsed="false">
      <c r="A21" s="314"/>
      <c r="B21" s="317"/>
      <c r="C21" s="317"/>
      <c r="D21" s="317"/>
      <c r="E21" s="314"/>
      <c r="F21" s="314"/>
      <c r="G21" s="314"/>
      <c r="H21" s="314"/>
      <c r="I21" s="314"/>
      <c r="J21" s="314"/>
    </row>
    <row r="22" customFormat="false" ht="18"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21.75" hidden="false" customHeight="true" outlineLevel="0" collapsed="false">
      <c r="A24" s="314"/>
      <c r="B24" s="113" t="s">
        <v>3457</v>
      </c>
      <c r="C24" s="1161" t="n">
        <f aca="false">'Esports · 8-Year'!C11</f>
        <v>554925.12</v>
      </c>
      <c r="D24" s="317"/>
      <c r="E24" s="314"/>
      <c r="F24" s="314"/>
      <c r="G24" s="314"/>
      <c r="H24" s="314"/>
      <c r="I24" s="314"/>
      <c r="J24" s="314"/>
    </row>
    <row r="25" customFormat="false" ht="15" hidden="false" customHeight="true" outlineLevel="0" collapsed="false">
      <c r="A25" s="314"/>
      <c r="B25" s="113" t="s">
        <v>3458</v>
      </c>
      <c r="C25" s="1161" t="n">
        <f aca="false">'Esports · 8-Year'!F11</f>
        <v>757977.0770028</v>
      </c>
      <c r="D25" s="317"/>
      <c r="E25" s="314"/>
      <c r="F25" s="314"/>
      <c r="G25" s="314"/>
      <c r="H25" s="314"/>
      <c r="I25" s="314"/>
      <c r="J25" s="314"/>
    </row>
    <row r="26" customFormat="false" ht="15" hidden="false" customHeight="true" outlineLevel="0" collapsed="false">
      <c r="A26" s="314"/>
      <c r="B26" s="113" t="s">
        <v>3459</v>
      </c>
      <c r="C26" s="1161" t="n">
        <f aca="false">'Esports · 8-Year'!J11</f>
        <v>895765.371841935</v>
      </c>
      <c r="D26" s="317"/>
      <c r="E26" s="314"/>
      <c r="F26" s="314"/>
      <c r="G26" s="314"/>
      <c r="H26" s="314"/>
      <c r="I26" s="314"/>
      <c r="J26" s="314"/>
    </row>
    <row r="27" customFormat="false" ht="15" hidden="false" customHeight="true" outlineLevel="0" collapsed="false">
      <c r="A27" s="314"/>
      <c r="B27" s="81" t="s">
        <v>3460</v>
      </c>
      <c r="C27" s="782" t="n">
        <f aca="false">'Esports · 8-Year'!K11</f>
        <v>6082323.40905265</v>
      </c>
      <c r="D27" s="317"/>
      <c r="E27" s="314"/>
      <c r="F27" s="314"/>
      <c r="G27" s="314"/>
      <c r="H27" s="314"/>
      <c r="I27" s="314"/>
      <c r="J27" s="314"/>
    </row>
    <row r="28" customFormat="false" ht="21.75" hidden="false" customHeight="true" outlineLevel="0" collapsed="false">
      <c r="A28" s="314"/>
      <c r="B28" s="81" t="s">
        <v>3461</v>
      </c>
      <c r="C28" s="1163" t="n">
        <f aca="false">'Esports · 8-Year'!K20</f>
        <v>4175134.86434297</v>
      </c>
      <c r="D28" s="317"/>
      <c r="E28" s="314"/>
      <c r="F28" s="314"/>
      <c r="G28" s="314"/>
      <c r="H28" s="314"/>
      <c r="I28" s="314"/>
      <c r="J28" s="314"/>
    </row>
    <row r="29" customFormat="false" ht="48.75" hidden="false" customHeight="true" outlineLevel="0" collapsed="false">
      <c r="A29" s="314"/>
      <c r="B29" s="1164" t="s">
        <v>3462</v>
      </c>
      <c r="C29" s="1165" t="n">
        <f aca="false">('Esports · 8-Year'!J11/'Esports · 8-Year'!C11)^(1/7)-1</f>
        <v>0.0708004745979443</v>
      </c>
      <c r="D29" s="317"/>
      <c r="E29" s="314"/>
      <c r="F29" s="314"/>
      <c r="G29" s="314"/>
      <c r="H29" s="314"/>
      <c r="I29" s="314"/>
      <c r="J29" s="314"/>
    </row>
    <row r="30" customFormat="false" ht="93.75" hidden="false" customHeight="true" outlineLevel="0" collapsed="false">
      <c r="B30" s="907" t="s">
        <v>3463</v>
      </c>
      <c r="C30" s="6"/>
      <c r="D30" s="6"/>
    </row>
    <row r="31" customFormat="false" ht="21.75" hidden="false" customHeight="true" outlineLevel="0" collapsed="false">
      <c r="B31" s="96" t="s">
        <v>4504</v>
      </c>
      <c r="C31" s="96"/>
      <c r="D31" s="96"/>
      <c r="E31" s="96"/>
      <c r="F31" s="96"/>
      <c r="G31" s="96"/>
      <c r="H31" s="96"/>
      <c r="I31" s="96"/>
    </row>
    <row r="32" customFormat="false" ht="21.75" hidden="false" customHeight="true" outlineLevel="0" collapsed="false">
      <c r="B32" s="97" t="s">
        <v>3465</v>
      </c>
      <c r="C32" s="319" t="s">
        <v>3466</v>
      </c>
      <c r="D32" s="319"/>
      <c r="E32" s="319"/>
      <c r="F32" s="319"/>
      <c r="G32" s="319"/>
      <c r="H32" s="319"/>
    </row>
    <row r="33" customFormat="false" ht="48.75" hidden="false" customHeight="true" outlineLevel="0" collapsed="false">
      <c r="B33" s="1160" t="s">
        <v>4505</v>
      </c>
      <c r="C33" s="134" t="s">
        <v>4506</v>
      </c>
      <c r="D33" s="134"/>
      <c r="E33" s="134"/>
      <c r="F33" s="134"/>
      <c r="G33" s="134"/>
      <c r="H33" s="134"/>
    </row>
    <row r="34" customFormat="false" ht="48.75" hidden="false" customHeight="true" outlineLevel="0" collapsed="false">
      <c r="B34" s="1160" t="s">
        <v>4507</v>
      </c>
      <c r="C34" s="134" t="s">
        <v>4508</v>
      </c>
      <c r="D34" s="134"/>
      <c r="E34" s="134"/>
      <c r="F34" s="134"/>
      <c r="G34" s="134"/>
      <c r="H34" s="134"/>
    </row>
    <row r="35" customFormat="false" ht="63.75" hidden="false" customHeight="true" outlineLevel="0" collapsed="false">
      <c r="B35" s="1160" t="s">
        <v>2487</v>
      </c>
      <c r="C35" s="134" t="s">
        <v>4509</v>
      </c>
      <c r="D35" s="134"/>
      <c r="E35" s="134"/>
      <c r="F35" s="134"/>
      <c r="G35" s="134"/>
      <c r="H35" s="134"/>
    </row>
    <row r="36" customFormat="false" ht="63.75" hidden="false" customHeight="true" outlineLevel="0" collapsed="false">
      <c r="B36" s="1160" t="s">
        <v>4510</v>
      </c>
      <c r="C36" s="134" t="s">
        <v>4511</v>
      </c>
      <c r="D36" s="134"/>
      <c r="E36" s="134"/>
      <c r="F36" s="134"/>
      <c r="G36" s="134"/>
      <c r="H36" s="134"/>
    </row>
    <row r="37" customFormat="false" ht="63.75" hidden="false" customHeight="true" outlineLevel="0" collapsed="false">
      <c r="B37" s="1160" t="s">
        <v>4512</v>
      </c>
      <c r="C37" s="134" t="s">
        <v>4513</v>
      </c>
      <c r="D37" s="134"/>
      <c r="E37" s="134"/>
      <c r="F37" s="134"/>
      <c r="G37" s="134"/>
      <c r="H37" s="134"/>
    </row>
    <row r="38" customFormat="false" ht="48.75" hidden="false" customHeight="true" outlineLevel="0" collapsed="false">
      <c r="B38" s="1160" t="s">
        <v>4514</v>
      </c>
      <c r="C38" s="134" t="s">
        <v>4515</v>
      </c>
      <c r="D38" s="134"/>
      <c r="E38" s="134"/>
      <c r="F38" s="134"/>
      <c r="G38" s="134"/>
      <c r="H38" s="134"/>
    </row>
    <row r="39" customFormat="false" ht="63.75" hidden="false" customHeight="true" outlineLevel="0" collapsed="false">
      <c r="B39" s="1160" t="s">
        <v>4516</v>
      </c>
      <c r="C39" s="134" t="s">
        <v>3480</v>
      </c>
      <c r="D39" s="134"/>
      <c r="E39" s="134"/>
      <c r="F39" s="134"/>
      <c r="G39" s="134"/>
      <c r="H39" s="134"/>
    </row>
    <row r="40" customFormat="false" ht="48.75" hidden="false" customHeight="true" outlineLevel="0" collapsed="false">
      <c r="B40" s="1160" t="s">
        <v>4517</v>
      </c>
      <c r="C40" s="134" t="s">
        <v>4518</v>
      </c>
      <c r="D40" s="134"/>
      <c r="E40" s="134"/>
      <c r="F40" s="134"/>
      <c r="G40" s="134"/>
      <c r="H40" s="13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2525</v>
      </c>
      <c r="D52" s="99" t="s">
        <v>4531</v>
      </c>
      <c r="E52" s="98" t="s">
        <v>6341</v>
      </c>
      <c r="F52" s="98" t="s">
        <v>778</v>
      </c>
    </row>
    <row r="53" customFormat="false" ht="15" hidden="false" customHeight="true" outlineLevel="0" collapsed="false">
      <c r="B53" s="113" t="s">
        <v>3502</v>
      </c>
      <c r="C53" s="1161" t="n">
        <f aca="false">'Esports · Revenue'!E12</f>
        <v>693656.4</v>
      </c>
      <c r="D53" s="386" t="n">
        <f aca="false">SUM('Master Revenue'!D7:D15)</f>
        <v>6672022.15</v>
      </c>
      <c r="E53" s="1166" t="n">
        <f aca="false">C53/D53</f>
        <v>0.10396494262238</v>
      </c>
      <c r="F53" s="107" t="s">
        <v>4533</v>
      </c>
    </row>
    <row r="54" customFormat="false" ht="15" hidden="false" customHeight="true" outlineLevel="0" collapsed="false">
      <c r="B54" s="113" t="s">
        <v>3504</v>
      </c>
      <c r="C54" s="1161" t="n">
        <f aca="false">'Esports · Costs'!C36</f>
        <v>477658</v>
      </c>
      <c r="D54" s="386" t="n">
        <f aca="false">SUM('Master Cost'!I7:I15)</f>
        <v>4022722.921025</v>
      </c>
      <c r="E54" s="1166" t="n">
        <f aca="false">C54/D54</f>
        <v>0.118739970258327</v>
      </c>
      <c r="F54" s="107" t="s">
        <v>4534</v>
      </c>
    </row>
    <row r="55" customFormat="false" ht="15" hidden="false" customHeight="true" outlineLevel="0" collapsed="false">
      <c r="B55" s="113" t="s">
        <v>3460</v>
      </c>
      <c r="C55" s="1161" t="n">
        <f aca="false">'Esports · 8-Year'!K11</f>
        <v>6082323.40905265</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800000</v>
      </c>
      <c r="D59" s="134" t="s">
        <v>4538</v>
      </c>
      <c r="E59" s="134"/>
      <c r="F59" s="134"/>
      <c r="G59" s="134"/>
      <c r="H59" s="134"/>
    </row>
    <row r="60" customFormat="false" ht="15" hidden="false" customHeight="true" outlineLevel="0" collapsed="false">
      <c r="B60" s="126" t="s">
        <v>3511</v>
      </c>
      <c r="C60" s="1161" t="n">
        <f aca="false">'Esports · Cash Flow'!K28</f>
        <v>3917168.22575412</v>
      </c>
      <c r="D60" s="134" t="s">
        <v>3512</v>
      </c>
      <c r="E60" s="134"/>
      <c r="F60" s="134"/>
      <c r="G60" s="134"/>
      <c r="H60" s="134"/>
    </row>
    <row r="61" customFormat="false" ht="15" hidden="false" customHeight="true" outlineLevel="0" collapsed="false">
      <c r="B61" s="113" t="s">
        <v>3513</v>
      </c>
      <c r="C61" s="1161" t="n">
        <f aca="false">'Esports · Cash Flow'!F28</f>
        <v>491269.062730453</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1.62843553704284</v>
      </c>
      <c r="D63" s="134" t="s">
        <v>3516</v>
      </c>
      <c r="E63" s="134"/>
      <c r="F63" s="134"/>
      <c r="G63" s="134"/>
      <c r="H63" s="134"/>
    </row>
    <row r="64" customFormat="false" ht="15" hidden="false" customHeight="true" outlineLevel="0" collapsed="false">
      <c r="B64" s="113" t="s">
        <v>3517</v>
      </c>
      <c r="C64" s="1169" t="n">
        <f aca="false">C61/C59</f>
        <v>0.614086328413066</v>
      </c>
      <c r="D64" s="134" t="s">
        <v>3518</v>
      </c>
      <c r="E64" s="134"/>
      <c r="F64" s="134"/>
      <c r="G64" s="134"/>
      <c r="H64" s="134"/>
    </row>
    <row r="65" customFormat="false" ht="15" hidden="false" customHeight="true" outlineLevel="0" collapsed="false">
      <c r="B65" s="113" t="s">
        <v>3519</v>
      </c>
      <c r="C65" s="1170" t="n">
        <f aca="false">(C60+C59)/C59</f>
        <v>5.89646028219265</v>
      </c>
      <c r="D65" s="134" t="s">
        <v>3520</v>
      </c>
      <c r="E65" s="134"/>
      <c r="F65" s="134"/>
      <c r="G65" s="134"/>
      <c r="H65" s="134"/>
    </row>
    <row r="66" customFormat="false" ht="15" hidden="false" customHeight="true" outlineLevel="0" collapsed="false">
      <c r="B66" s="113" t="s">
        <v>3523</v>
      </c>
      <c r="C66" s="1169" t="n">
        <f aca="false">C60/C59</f>
        <v>4.89646028219265</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78.75" hidden="false" customHeight="true" outlineLevel="0" collapsed="false">
      <c r="B70" s="1171" t="s">
        <v>6342</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10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E38" activePane="bottomRight" state="frozen"/>
      <selection pane="topLeft" activeCell="A1" activeCellId="0" sqref="A1"/>
      <selection pane="topRight" activeCell="E1" activeCellId="0" sqref="E1"/>
      <selection pane="bottomLeft" activeCell="A38" activeCellId="0" sqref="A38"/>
      <selection pane="bottomRight" activeCell="C63" activeCellId="0" sqref="C63"/>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9"/>
    <col collapsed="false" customWidth="true" hidden="false" outlineLevel="0" max="8" min="8" style="0" width="28"/>
    <col collapsed="false" customWidth="true" hidden="false" outlineLevel="0" max="10" min="9" style="0" width="9"/>
    <col collapsed="false" customWidth="true" hidden="false" outlineLevel="0" max="11" min="11" style="0" width="12"/>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6343</v>
      </c>
      <c r="C2" s="878"/>
      <c r="D2" s="878"/>
      <c r="E2" s="878"/>
      <c r="F2" s="878"/>
      <c r="G2" s="89" t="s">
        <v>3432</v>
      </c>
      <c r="H2" s="89"/>
      <c r="I2" s="89"/>
      <c r="J2" s="89"/>
    </row>
    <row r="3" customFormat="false" ht="48.75" hidden="false" customHeight="true" outlineLevel="0" collapsed="false">
      <c r="B3" s="90" t="s">
        <v>6344</v>
      </c>
      <c r="C3" s="90"/>
      <c r="D3" s="90"/>
      <c r="E3" s="90"/>
      <c r="F3" s="90"/>
      <c r="G3" s="90"/>
      <c r="H3" s="90"/>
      <c r="I3" s="90"/>
      <c r="J3" s="90"/>
    </row>
    <row r="4" customFormat="false" ht="19.5" hidden="false" customHeight="true" outlineLevel="0" collapsed="false">
      <c r="B4" s="6"/>
      <c r="E4" s="6"/>
      <c r="G4" s="367" t="s">
        <v>4543</v>
      </c>
      <c r="H4" s="367"/>
    </row>
    <row r="5" customFormat="false" ht="33.75" hidden="false" customHeight="true" outlineLevel="0" collapsed="false">
      <c r="B5" s="96" t="s">
        <v>4544</v>
      </c>
      <c r="C5" s="96"/>
      <c r="D5" s="96"/>
      <c r="E5" s="96"/>
      <c r="G5" s="919" t="str">
        <f aca="false">PROPER('Esports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13" t="s">
        <v>6345</v>
      </c>
      <c r="C7" s="1172" t="n">
        <v>60</v>
      </c>
      <c r="D7" s="1173" t="n">
        <v>60</v>
      </c>
      <c r="E7" s="1174" t="n">
        <v>60</v>
      </c>
      <c r="H7" s="565" t="s">
        <v>6346</v>
      </c>
    </row>
    <row r="8" customFormat="false" ht="16.5" hidden="false" customHeight="true" outlineLevel="0" collapsed="false">
      <c r="B8" s="113" t="s">
        <v>6347</v>
      </c>
      <c r="C8" s="1172" t="n">
        <v>10</v>
      </c>
      <c r="D8" s="1173" t="n">
        <v>12</v>
      </c>
      <c r="E8" s="1174" t="n">
        <v>13.2</v>
      </c>
      <c r="H8" s="565" t="s">
        <v>6348</v>
      </c>
    </row>
    <row r="9" customFormat="false" ht="16.5" hidden="false" customHeight="true" outlineLevel="0" collapsed="false">
      <c r="B9" s="113" t="s">
        <v>6349</v>
      </c>
      <c r="C9" s="1172" t="n">
        <v>30</v>
      </c>
      <c r="D9" s="1173" t="n">
        <v>30</v>
      </c>
      <c r="E9" s="1174" t="n">
        <v>30</v>
      </c>
      <c r="H9" s="565" t="s">
        <v>6350</v>
      </c>
    </row>
    <row r="10" customFormat="false" ht="16.5" hidden="false" customHeight="true" outlineLevel="0" collapsed="false">
      <c r="B10" s="126" t="s">
        <v>6351</v>
      </c>
      <c r="C10" s="923" t="n">
        <v>0.2805</v>
      </c>
      <c r="D10" s="924" t="n">
        <v>0.33</v>
      </c>
      <c r="E10" s="925" t="n">
        <v>0.363</v>
      </c>
      <c r="H10" s="565" t="s">
        <v>6352</v>
      </c>
    </row>
    <row r="11" customFormat="false" ht="16.5" hidden="false" customHeight="true" outlineLevel="0" collapsed="false">
      <c r="B11" s="113" t="s">
        <v>6353</v>
      </c>
      <c r="C11" s="1424" t="n">
        <v>4.305</v>
      </c>
      <c r="D11" s="1425" t="n">
        <v>5.25</v>
      </c>
      <c r="E11" s="1426" t="n">
        <v>5.775</v>
      </c>
      <c r="H11" s="565" t="s">
        <v>6354</v>
      </c>
    </row>
    <row r="12" customFormat="false" ht="16.5" hidden="false" customHeight="true" outlineLevel="0" collapsed="false">
      <c r="B12" s="113" t="s">
        <v>6355</v>
      </c>
      <c r="C12" s="1424" t="n">
        <v>7</v>
      </c>
      <c r="D12" s="1425" t="n">
        <v>8.5</v>
      </c>
      <c r="E12" s="1426" t="n">
        <v>9.35</v>
      </c>
      <c r="H12" s="565" t="s">
        <v>6356</v>
      </c>
    </row>
    <row r="13" customFormat="false" ht="16.5" hidden="false" customHeight="true" outlineLevel="0" collapsed="false">
      <c r="B13" s="113" t="s">
        <v>6357</v>
      </c>
      <c r="C13" s="923" t="n">
        <v>0.396</v>
      </c>
      <c r="D13" s="924" t="n">
        <v>0.45</v>
      </c>
      <c r="E13" s="925" t="n">
        <v>0.486</v>
      </c>
      <c r="H13" s="565" t="s">
        <v>6358</v>
      </c>
    </row>
    <row r="14" customFormat="false" ht="16.5" hidden="false" customHeight="true" outlineLevel="0" collapsed="false">
      <c r="B14" s="113" t="s">
        <v>6359</v>
      </c>
      <c r="C14" s="1172" t="n">
        <v>114.8</v>
      </c>
      <c r="D14" s="1173" t="n">
        <v>140</v>
      </c>
      <c r="E14" s="1174" t="n">
        <v>154</v>
      </c>
      <c r="H14" s="565" t="s">
        <v>6360</v>
      </c>
    </row>
    <row r="15" customFormat="false" ht="16.5" hidden="false" customHeight="true" outlineLevel="0" collapsed="false">
      <c r="B15" s="113" t="s">
        <v>6361</v>
      </c>
      <c r="C15" s="927" t="n">
        <v>24.6</v>
      </c>
      <c r="D15" s="928" t="n">
        <v>30</v>
      </c>
      <c r="E15" s="929" t="n">
        <v>33</v>
      </c>
      <c r="H15" s="565" t="s">
        <v>6362</v>
      </c>
    </row>
    <row r="16" customFormat="false" ht="16.5" hidden="false" customHeight="true" outlineLevel="0" collapsed="false">
      <c r="B16" s="113" t="s">
        <v>6363</v>
      </c>
      <c r="C16" s="1172" t="n">
        <v>18</v>
      </c>
      <c r="D16" s="1173" t="n">
        <v>20</v>
      </c>
      <c r="E16" s="1174" t="n">
        <v>22</v>
      </c>
      <c r="H16" s="565" t="s">
        <v>6364</v>
      </c>
    </row>
    <row r="17" customFormat="false" ht="16.5" hidden="false" customHeight="true" outlineLevel="0" collapsed="false">
      <c r="B17" s="113" t="s">
        <v>6365</v>
      </c>
      <c r="C17" s="923" t="n">
        <v>0.22</v>
      </c>
      <c r="D17" s="924" t="n">
        <v>0.25</v>
      </c>
      <c r="E17" s="925" t="n">
        <v>0.27</v>
      </c>
      <c r="H17" s="565" t="s">
        <v>6366</v>
      </c>
    </row>
    <row r="18" customFormat="false" ht="16.5" hidden="false" customHeight="true" outlineLevel="0" collapsed="false">
      <c r="B18" s="113" t="s">
        <v>6367</v>
      </c>
      <c r="C18" s="1172" t="n">
        <v>9.84</v>
      </c>
      <c r="D18" s="1173" t="n">
        <v>12</v>
      </c>
      <c r="E18" s="1174" t="n">
        <v>13.2</v>
      </c>
      <c r="H18" s="565" t="s">
        <v>6368</v>
      </c>
    </row>
    <row r="19" customFormat="false" ht="16.5" hidden="false" customHeight="true" outlineLevel="0" collapsed="false">
      <c r="B19" s="113" t="s">
        <v>6369</v>
      </c>
      <c r="C19" s="1172" t="n">
        <v>34.44</v>
      </c>
      <c r="D19" s="1173" t="n">
        <v>42</v>
      </c>
      <c r="E19" s="1174" t="n">
        <v>46.2</v>
      </c>
      <c r="H19" s="565" t="s">
        <v>6370</v>
      </c>
    </row>
    <row r="20" customFormat="false" ht="16.5" hidden="false" customHeight="true" outlineLevel="0" collapsed="false">
      <c r="B20" s="113" t="s">
        <v>6371</v>
      </c>
      <c r="C20" s="927" t="n">
        <v>5.74</v>
      </c>
      <c r="D20" s="928" t="n">
        <v>7</v>
      </c>
      <c r="E20" s="929" t="n">
        <v>7.7</v>
      </c>
      <c r="H20" s="565" t="s">
        <v>6372</v>
      </c>
    </row>
    <row r="21" customFormat="false" ht="16.5" hidden="false" customHeight="true" outlineLevel="0" collapsed="false">
      <c r="B21" s="113" t="s">
        <v>6373</v>
      </c>
      <c r="C21" s="1424" t="n">
        <v>1.23</v>
      </c>
      <c r="D21" s="1425" t="n">
        <v>1.5</v>
      </c>
      <c r="E21" s="1426" t="n">
        <v>1.65</v>
      </c>
      <c r="H21" s="565" t="s">
        <v>6374</v>
      </c>
    </row>
    <row r="22" customFormat="false" ht="6" hidden="false" customHeight="true" outlineLevel="0" collapsed="false">
      <c r="B22" s="6"/>
      <c r="E22" s="6"/>
    </row>
    <row r="23" customFormat="false" ht="21.75" hidden="false" customHeight="true" outlineLevel="0" collapsed="false">
      <c r="B23" s="125" t="s">
        <v>6375</v>
      </c>
      <c r="C23" s="125"/>
      <c r="D23" s="125"/>
      <c r="E23" s="125"/>
      <c r="F23" s="125"/>
      <c r="G23" s="125"/>
      <c r="H23" s="125"/>
    </row>
    <row r="24" customFormat="false" ht="18" hidden="false" customHeight="true" outlineLevel="0" collapsed="false">
      <c r="B24" s="113" t="s">
        <v>6376</v>
      </c>
      <c r="C24" s="1175" t="n">
        <f aca="false">IF($G$5="Bear",C7,IF($G$5="Bull",E7,D7))</f>
        <v>60</v>
      </c>
      <c r="E24" s="6"/>
      <c r="H24" s="565" t="s">
        <v>5430</v>
      </c>
    </row>
    <row r="25" customFormat="false" ht="18" hidden="false" customHeight="true" outlineLevel="0" collapsed="false">
      <c r="B25" s="113" t="s">
        <v>6377</v>
      </c>
      <c r="C25" s="1175" t="n">
        <f aca="false">IF($G$5="Bear",C8,IF($G$5="Bull",E8,D8))</f>
        <v>12</v>
      </c>
      <c r="E25" s="6"/>
      <c r="H25" s="565" t="s">
        <v>5430</v>
      </c>
    </row>
    <row r="26" customFormat="false" ht="18" hidden="false" customHeight="true" outlineLevel="0" collapsed="false">
      <c r="B26" s="113" t="s">
        <v>5431</v>
      </c>
      <c r="C26" s="1175" t="n">
        <f aca="false">IF($G$5="Bear",C9,IF($G$5="Bull",E9,D9))</f>
        <v>30</v>
      </c>
      <c r="E26" s="6"/>
      <c r="H26" s="565" t="s">
        <v>5430</v>
      </c>
    </row>
    <row r="27" customFormat="false" ht="18" hidden="false" customHeight="true" outlineLevel="0" collapsed="false">
      <c r="B27" s="113" t="s">
        <v>5419</v>
      </c>
      <c r="C27" s="1330" t="n">
        <f aca="false">IF($G$5="Bear",C10,IF($G$5="Bull",E10,D10))</f>
        <v>0.33</v>
      </c>
      <c r="E27" s="6"/>
      <c r="H27" s="565" t="s">
        <v>5430</v>
      </c>
    </row>
    <row r="28" customFormat="false" ht="18" hidden="false" customHeight="true" outlineLevel="0" collapsed="false">
      <c r="B28" s="113" t="s">
        <v>6378</v>
      </c>
      <c r="C28" s="1427" t="n">
        <f aca="false">IF($G$5="Bear",C11,IF($G$5="Bull",E11,D11))</f>
        <v>5.25</v>
      </c>
      <c r="E28" s="6"/>
      <c r="H28" s="565" t="s">
        <v>6379</v>
      </c>
    </row>
    <row r="29" customFormat="false" ht="18" hidden="false" customHeight="true" outlineLevel="0" collapsed="false">
      <c r="B29" s="113" t="s">
        <v>6380</v>
      </c>
      <c r="C29" s="1427" t="n">
        <f aca="false">IF($G$5="Bear",C12,IF($G$5="Bull",E12,D12))</f>
        <v>8.5</v>
      </c>
      <c r="E29" s="6"/>
      <c r="H29" s="565" t="s">
        <v>6379</v>
      </c>
    </row>
    <row r="30" customFormat="false" ht="18" hidden="false" customHeight="true" outlineLevel="0" collapsed="false">
      <c r="B30" s="113" t="s">
        <v>6381</v>
      </c>
      <c r="C30" s="1330" t="n">
        <f aca="false">IF($G$5="Bear",C13,IF($G$5="Bull",E13,D13))</f>
        <v>0.45</v>
      </c>
      <c r="E30" s="6"/>
      <c r="H30" s="565" t="s">
        <v>6382</v>
      </c>
    </row>
    <row r="31" customFormat="false" ht="18" hidden="false" customHeight="true" outlineLevel="0" collapsed="false">
      <c r="B31" s="113" t="s">
        <v>6359</v>
      </c>
      <c r="C31" s="1175" t="n">
        <f aca="false">IF($G$5="Bear",C14,IF($G$5="Bull",E14,D14))</f>
        <v>140</v>
      </c>
      <c r="E31" s="6"/>
      <c r="H31" s="565" t="s">
        <v>6383</v>
      </c>
    </row>
    <row r="32" customFormat="false" ht="18" hidden="false" customHeight="true" outlineLevel="0" collapsed="false">
      <c r="B32" s="113" t="s">
        <v>6384</v>
      </c>
      <c r="C32" s="1176" t="n">
        <f aca="false">IF($G$5="Bear",C15,IF($G$5="Bull",E15,D15))</f>
        <v>30</v>
      </c>
      <c r="E32" s="6"/>
      <c r="H32" s="565" t="s">
        <v>6385</v>
      </c>
    </row>
    <row r="33" customFormat="false" ht="18" hidden="false" customHeight="true" outlineLevel="0" collapsed="false">
      <c r="B33" s="113" t="s">
        <v>6386</v>
      </c>
      <c r="C33" s="1175" t="n">
        <f aca="false">IF($G$5="Bear",C16,IF($G$5="Bull",E16,D16))</f>
        <v>20</v>
      </c>
      <c r="E33" s="6"/>
      <c r="H33" s="565" t="s">
        <v>6387</v>
      </c>
    </row>
    <row r="34" customFormat="false" ht="18" hidden="false" customHeight="true" outlineLevel="0" collapsed="false">
      <c r="B34" s="113" t="s">
        <v>6388</v>
      </c>
      <c r="C34" s="1330" t="n">
        <f aca="false">IF($G$5="Bear",C17,IF($G$5="Bull",E17,D17))</f>
        <v>0.25</v>
      </c>
      <c r="E34" s="6"/>
      <c r="H34" s="565" t="s">
        <v>6389</v>
      </c>
    </row>
    <row r="35" customFormat="false" ht="18" hidden="false" customHeight="true" outlineLevel="0" collapsed="false">
      <c r="B35" s="113" t="s">
        <v>6390</v>
      </c>
      <c r="C35" s="1175" t="n">
        <f aca="false">IF($G$5="Bear",C18,IF($G$5="Bull",E18,D18))</f>
        <v>12</v>
      </c>
      <c r="E35" s="6"/>
      <c r="H35" s="565" t="s">
        <v>6391</v>
      </c>
    </row>
    <row r="36" customFormat="false" ht="18" hidden="false" customHeight="true" outlineLevel="0" collapsed="false">
      <c r="B36" s="113" t="s">
        <v>6392</v>
      </c>
      <c r="C36" s="1175" t="n">
        <f aca="false">IF($G$5="Bear",C19,IF($G$5="Bull",E19,D19))</f>
        <v>42</v>
      </c>
      <c r="E36" s="6"/>
      <c r="H36" s="565" t="s">
        <v>6391</v>
      </c>
    </row>
    <row r="37" customFormat="false" ht="18" hidden="false" customHeight="true" outlineLevel="0" collapsed="false">
      <c r="B37" s="113" t="s">
        <v>6393</v>
      </c>
      <c r="C37" s="1176" t="n">
        <f aca="false">IF($G$5="Bear",C20,IF($G$5="Bull",E20,D20))</f>
        <v>7</v>
      </c>
      <c r="E37" s="6"/>
      <c r="H37" s="565" t="s">
        <v>6391</v>
      </c>
    </row>
    <row r="38" customFormat="false" ht="18" hidden="false" customHeight="true" outlineLevel="0" collapsed="false">
      <c r="B38" s="113" t="s">
        <v>6394</v>
      </c>
      <c r="C38" s="1427" t="n">
        <f aca="false">IF($G$5="Bear",C21,IF($G$5="Bull",E21,D21))</f>
        <v>1.5</v>
      </c>
      <c r="E38" s="6"/>
      <c r="H38" s="565" t="s">
        <v>6395</v>
      </c>
    </row>
    <row r="39" customFormat="false" ht="6" hidden="false" customHeight="true" outlineLevel="0" collapsed="false">
      <c r="B39" s="6"/>
      <c r="E39" s="6"/>
    </row>
    <row r="40" customFormat="false" ht="33.75" hidden="false" customHeight="true" outlineLevel="0" collapsed="false">
      <c r="B40" s="125" t="s">
        <v>6396</v>
      </c>
      <c r="C40" s="125"/>
      <c r="D40" s="125"/>
      <c r="E40" s="125"/>
      <c r="F40" s="125"/>
      <c r="G40" s="125"/>
      <c r="H40" s="125"/>
    </row>
    <row r="41" customFormat="false" ht="16.5" hidden="false" customHeight="true" outlineLevel="0" collapsed="false">
      <c r="B41" s="905" t="s">
        <v>6397</v>
      </c>
      <c r="C41" s="1428" t="n">
        <f aca="false">C24*C25*C26</f>
        <v>21600</v>
      </c>
      <c r="E41" s="6"/>
      <c r="H41" s="565" t="s">
        <v>6398</v>
      </c>
    </row>
    <row r="42" customFormat="false" ht="16.5" hidden="false" customHeight="true" outlineLevel="0" collapsed="false">
      <c r="B42" s="905" t="s">
        <v>6399</v>
      </c>
      <c r="C42" s="1428" t="n">
        <f aca="false">C41*C27</f>
        <v>7128</v>
      </c>
      <c r="E42" s="6"/>
      <c r="H42" s="565" t="s">
        <v>6400</v>
      </c>
    </row>
    <row r="43" customFormat="false" ht="16.5" hidden="false" customHeight="true" outlineLevel="0" collapsed="false">
      <c r="B43" s="113" t="s">
        <v>6401</v>
      </c>
      <c r="C43" s="1002" t="n">
        <f aca="false">C31*C33</f>
        <v>2800</v>
      </c>
      <c r="E43" s="6"/>
      <c r="H43" s="565" t="s">
        <v>6402</v>
      </c>
    </row>
    <row r="44" customFormat="false" ht="16.5" hidden="false" customHeight="true" outlineLevel="0" collapsed="false">
      <c r="B44" s="905" t="s">
        <v>6403</v>
      </c>
      <c r="C44" s="1428" t="n">
        <f aca="false">MAX(0,C42-C43)</f>
        <v>4328</v>
      </c>
      <c r="E44" s="6"/>
      <c r="H44" s="565" t="s">
        <v>6404</v>
      </c>
    </row>
    <row r="45" customFormat="false" ht="15" hidden="false" customHeight="true" outlineLevel="0" collapsed="false">
      <c r="B45" s="128" t="s">
        <v>6405</v>
      </c>
      <c r="C45" s="1429" t="str">
        <f aca="false">IF(C43&gt;C42,"⚠ MEMBERS EXCEED CAPACITY — increase util or reduce members","✓ Member hours fit in capacity")</f>
        <v>✓ Member hours fit in capacity</v>
      </c>
      <c r="E45" s="6"/>
    </row>
    <row r="46" customFormat="false" ht="6" hidden="false" customHeight="true" outlineLevel="0" collapsed="false">
      <c r="B46" s="6"/>
      <c r="E46" s="6"/>
    </row>
    <row r="47" customFormat="false" ht="21.75" hidden="false" customHeight="true" outlineLevel="0" collapsed="false">
      <c r="B47" s="72" t="s">
        <v>6406</v>
      </c>
      <c r="C47" s="72"/>
      <c r="D47" s="72"/>
      <c r="E47" s="72"/>
      <c r="F47" s="72"/>
      <c r="G47" s="72"/>
      <c r="H47" s="72"/>
    </row>
    <row r="48" customFormat="false" ht="16.5" hidden="false" customHeight="true" outlineLevel="0" collapsed="false">
      <c r="B48" s="905" t="s">
        <v>6407</v>
      </c>
      <c r="C48" s="1430" t="n">
        <f aca="false">C30*C29+(1-C30)*C28</f>
        <v>6.7125</v>
      </c>
      <c r="E48" s="6"/>
      <c r="H48" s="565" t="s">
        <v>6408</v>
      </c>
    </row>
    <row r="49" customFormat="false" ht="16.5" hidden="false" customHeight="true" outlineLevel="0" collapsed="false">
      <c r="B49" s="1061" t="s">
        <v>6409</v>
      </c>
      <c r="C49" s="1430" t="n">
        <f aca="false">C28*(1-C34)</f>
        <v>3.9375</v>
      </c>
      <c r="E49" s="6"/>
      <c r="H49" s="565" t="s">
        <v>6410</v>
      </c>
    </row>
    <row r="50" customFormat="false" ht="6" hidden="false" customHeight="true" outlineLevel="0" collapsed="false">
      <c r="B50" s="6"/>
      <c r="E50" s="6"/>
    </row>
    <row r="51" customFormat="false" ht="33.75" hidden="false" customHeight="true" outlineLevel="0" collapsed="false">
      <c r="B51" s="555" t="s">
        <v>6411</v>
      </c>
      <c r="C51" s="555"/>
      <c r="D51" s="555"/>
      <c r="E51" s="555"/>
      <c r="F51" s="555"/>
      <c r="G51" s="555"/>
      <c r="H51" s="555"/>
    </row>
    <row r="52" customFormat="false" ht="15" hidden="false" customHeight="true" outlineLevel="0" collapsed="false">
      <c r="B52" s="1076" t="s">
        <v>6412</v>
      </c>
      <c r="C52" s="1181" t="n">
        <f aca="false">(C42)*C38*12</f>
        <v>128304</v>
      </c>
      <c r="D52" s="1182" t="s">
        <v>4597</v>
      </c>
      <c r="E52" s="6"/>
      <c r="H52" s="565" t="s">
        <v>6413</v>
      </c>
    </row>
    <row r="53" customFormat="false" ht="6" hidden="false" customHeight="true" outlineLevel="0" collapsed="false">
      <c r="B53" s="6"/>
      <c r="E53" s="6"/>
    </row>
    <row r="54" customFormat="false" ht="21.75" hidden="false" customHeight="true" outlineLevel="0" collapsed="false">
      <c r="B54" s="96" t="s">
        <v>4601</v>
      </c>
      <c r="C54" s="96"/>
      <c r="D54" s="96"/>
      <c r="E54" s="96"/>
      <c r="F54" s="96"/>
      <c r="G54" s="96"/>
      <c r="H54" s="96"/>
    </row>
    <row r="55" customFormat="false" ht="15" hidden="false" customHeight="true" outlineLevel="0" collapsed="false">
      <c r="B55" s="6"/>
      <c r="E55" s="6"/>
    </row>
    <row r="56" customFormat="false" ht="15" hidden="false" customHeight="true" outlineLevel="0" collapsed="false">
      <c r="B56" s="81" t="s">
        <v>4602</v>
      </c>
      <c r="E56" s="6"/>
    </row>
    <row r="57" customFormat="false" ht="16.5" hidden="false" customHeight="true" outlineLevel="0" collapsed="false">
      <c r="B57" s="126" t="s">
        <v>6414</v>
      </c>
      <c r="C57" s="945" t="n">
        <v>24000</v>
      </c>
      <c r="E57" s="6"/>
      <c r="H57" s="565" t="s">
        <v>6415</v>
      </c>
    </row>
    <row r="58" customFormat="false" ht="16.5" hidden="false" customHeight="true" outlineLevel="0" collapsed="false">
      <c r="B58" s="126" t="s">
        <v>6416</v>
      </c>
      <c r="C58" s="945" t="n">
        <v>30600</v>
      </c>
      <c r="E58" s="6"/>
      <c r="H58" s="565" t="s">
        <v>6417</v>
      </c>
    </row>
    <row r="59" customFormat="false" ht="16.5" hidden="false" customHeight="true" outlineLevel="0" collapsed="false">
      <c r="B59" s="113" t="s">
        <v>4612</v>
      </c>
      <c r="C59" s="945" t="n">
        <v>0</v>
      </c>
      <c r="E59" s="6"/>
      <c r="H59" s="565" t="s">
        <v>4613</v>
      </c>
    </row>
    <row r="60" customFormat="false" ht="16.5" hidden="false" customHeight="true" outlineLevel="0" collapsed="false">
      <c r="B60" s="126" t="s">
        <v>6418</v>
      </c>
      <c r="C60" s="945" t="n">
        <v>6000</v>
      </c>
      <c r="E60" s="6"/>
      <c r="H60" s="565" t="s">
        <v>6419</v>
      </c>
    </row>
    <row r="61" customFormat="false" ht="16.5" hidden="false" customHeight="true" outlineLevel="0" collapsed="false">
      <c r="B61" s="126" t="s">
        <v>6420</v>
      </c>
      <c r="C61" s="945" t="n">
        <v>9600</v>
      </c>
      <c r="E61" s="6"/>
      <c r="H61" s="565" t="s">
        <v>6421</v>
      </c>
    </row>
    <row r="62" customFormat="false" ht="16.5" hidden="false" customHeight="true" outlineLevel="0" collapsed="false">
      <c r="B62" s="113" t="s">
        <v>6422</v>
      </c>
      <c r="C62" s="945" t="n">
        <v>3600</v>
      </c>
      <c r="E62" s="6"/>
      <c r="H62" s="565" t="s">
        <v>6423</v>
      </c>
    </row>
    <row r="63" customFormat="false" ht="15" hidden="false" customHeight="true" outlineLevel="0" collapsed="false">
      <c r="B63" s="6"/>
      <c r="E63" s="6"/>
    </row>
    <row r="64" customFormat="false" ht="15" hidden="false" customHeight="true" outlineLevel="0" collapsed="false">
      <c r="B64" s="1076" t="s">
        <v>6424</v>
      </c>
      <c r="E64" s="6"/>
    </row>
    <row r="65" customFormat="false" ht="16.5" hidden="false" customHeight="true" outlineLevel="0" collapsed="false">
      <c r="B65" s="113" t="s">
        <v>6425</v>
      </c>
      <c r="C65" s="945" t="n">
        <v>1750</v>
      </c>
      <c r="E65" s="6"/>
      <c r="H65" s="565" t="s">
        <v>6426</v>
      </c>
    </row>
    <row r="66" customFormat="false" ht="16.5" hidden="false" customHeight="true" outlineLevel="0" collapsed="false">
      <c r="B66" s="113" t="s">
        <v>6427</v>
      </c>
      <c r="C66" s="939" t="n">
        <v>3</v>
      </c>
      <c r="E66" s="6"/>
      <c r="H66" s="565" t="s">
        <v>6428</v>
      </c>
    </row>
    <row r="67" customFormat="false" ht="16.5" hidden="false" customHeight="true" outlineLevel="0" collapsed="false">
      <c r="B67" s="905" t="s">
        <v>6429</v>
      </c>
      <c r="C67" s="1344" t="n">
        <f aca="false">C24*C65/C66</f>
        <v>35000</v>
      </c>
      <c r="E67" s="6"/>
      <c r="H67" s="565" t="s">
        <v>6430</v>
      </c>
    </row>
    <row r="68" customFormat="false" ht="15" hidden="false" customHeight="true" outlineLevel="0" collapsed="false">
      <c r="B68" s="6"/>
      <c r="E68" s="6"/>
    </row>
    <row r="69" customFormat="false" ht="15" hidden="false" customHeight="true" outlineLevel="0" collapsed="false">
      <c r="B69" s="1076" t="s">
        <v>6431</v>
      </c>
      <c r="E69" s="6"/>
    </row>
    <row r="70" customFormat="false" ht="16.5" hidden="false" customHeight="true" outlineLevel="0" collapsed="false">
      <c r="B70" s="113" t="s">
        <v>6432</v>
      </c>
      <c r="C70" s="951" t="n">
        <v>0.2</v>
      </c>
      <c r="E70" s="6"/>
      <c r="H70" s="565" t="s">
        <v>6433</v>
      </c>
    </row>
    <row r="71" customFormat="false" ht="16.5" hidden="false" customHeight="true" outlineLevel="0" collapsed="false">
      <c r="B71" s="126" t="s">
        <v>6434</v>
      </c>
      <c r="C71" s="960" t="n">
        <v>0.025</v>
      </c>
      <c r="E71" s="6"/>
      <c r="H71" s="565" t="s">
        <v>6435</v>
      </c>
    </row>
    <row r="72" customFormat="false" ht="15" hidden="false" customHeight="true" outlineLevel="0" collapsed="false">
      <c r="B72" s="6"/>
      <c r="E72" s="6"/>
    </row>
    <row r="73" customFormat="false" ht="15" hidden="false" customHeight="true" outlineLevel="0" collapsed="false">
      <c r="B73" s="81" t="s">
        <v>4623</v>
      </c>
      <c r="E73" s="6"/>
    </row>
    <row r="74" customFormat="false" ht="16.5" hidden="false" customHeight="true" outlineLevel="0" collapsed="false">
      <c r="B74" s="126" t="s">
        <v>6436</v>
      </c>
      <c r="C74" s="951" t="n">
        <v>0.15</v>
      </c>
      <c r="E74" s="6"/>
      <c r="H74" s="565" t="s">
        <v>6437</v>
      </c>
    </row>
    <row r="75" customFormat="false" ht="15" hidden="false" customHeight="true" outlineLevel="0" collapsed="false">
      <c r="B75" s="6"/>
      <c r="E75" s="6"/>
    </row>
    <row r="76" customFormat="false" ht="15" hidden="false" customHeight="true" outlineLevel="0" collapsed="false">
      <c r="B76" s="81" t="s">
        <v>6438</v>
      </c>
      <c r="E76" s="6"/>
    </row>
    <row r="77" customFormat="false" ht="16.5" hidden="false" customHeight="true" outlineLevel="0" collapsed="false">
      <c r="B77" s="126" t="s">
        <v>6439</v>
      </c>
      <c r="C77" s="936" t="n">
        <v>0.5</v>
      </c>
      <c r="E77" s="6"/>
      <c r="H77" s="565" t="s">
        <v>6440</v>
      </c>
    </row>
    <row r="78" customFormat="false" ht="16.5" hidden="false" customHeight="true" outlineLevel="0" collapsed="false">
      <c r="B78" s="126" t="s">
        <v>6441</v>
      </c>
      <c r="C78" s="945" t="n">
        <v>100</v>
      </c>
      <c r="E78" s="6"/>
      <c r="H78" s="565" t="s">
        <v>6442</v>
      </c>
    </row>
    <row r="79" customFormat="false" ht="15" hidden="false" customHeight="true" outlineLevel="0" collapsed="false">
      <c r="B79" s="6"/>
      <c r="E79" s="6"/>
    </row>
    <row r="80" customFormat="false" ht="33.75" hidden="false" customHeight="true" outlineLevel="0" collapsed="false">
      <c r="B80" s="555" t="s">
        <v>6443</v>
      </c>
      <c r="C80" s="555"/>
      <c r="D80" s="555"/>
      <c r="E80" s="555"/>
      <c r="F80" s="555"/>
      <c r="G80" s="555"/>
      <c r="H80" s="555"/>
    </row>
    <row r="81" customFormat="false" ht="19.5" hidden="false" customHeight="true" outlineLevel="0" collapsed="false">
      <c r="B81" s="97" t="s">
        <v>392</v>
      </c>
      <c r="C81" s="675" t="s">
        <v>2444</v>
      </c>
      <c r="D81" s="676" t="s">
        <v>203</v>
      </c>
      <c r="E81" s="678" t="s">
        <v>2445</v>
      </c>
    </row>
    <row r="82" customFormat="false" ht="16.5" hidden="false" customHeight="true" outlineLevel="0" collapsed="false">
      <c r="B82" s="113" t="s">
        <v>6444</v>
      </c>
      <c r="C82" s="1172" t="n">
        <v>2</v>
      </c>
      <c r="D82" s="1173" t="n">
        <v>4</v>
      </c>
      <c r="E82" s="1174" t="n">
        <v>8</v>
      </c>
      <c r="H82" s="565" t="s">
        <v>6445</v>
      </c>
    </row>
    <row r="83" customFormat="false" ht="16.5" hidden="false" customHeight="true" outlineLevel="0" collapsed="false">
      <c r="B83" s="126" t="s">
        <v>6446</v>
      </c>
      <c r="C83" s="1172" t="n">
        <v>200</v>
      </c>
      <c r="D83" s="1173" t="n">
        <v>400</v>
      </c>
      <c r="E83" s="1174" t="n">
        <v>700</v>
      </c>
      <c r="H83" s="565" t="s">
        <v>6447</v>
      </c>
    </row>
    <row r="84" customFormat="false" ht="16.5" hidden="false" customHeight="true" outlineLevel="0" collapsed="false">
      <c r="B84" s="126" t="s">
        <v>6448</v>
      </c>
      <c r="C84" s="927" t="n">
        <v>3</v>
      </c>
      <c r="D84" s="928" t="n">
        <v>5</v>
      </c>
      <c r="E84" s="929" t="n">
        <v>8</v>
      </c>
      <c r="H84" s="565" t="s">
        <v>6449</v>
      </c>
    </row>
    <row r="85" customFormat="false" ht="16.5" hidden="false" customHeight="true" outlineLevel="0" collapsed="false">
      <c r="B85" s="126" t="s">
        <v>6450</v>
      </c>
      <c r="C85" s="927" t="n">
        <v>300</v>
      </c>
      <c r="D85" s="928" t="n">
        <v>500</v>
      </c>
      <c r="E85" s="929" t="n">
        <v>1000</v>
      </c>
      <c r="H85" s="565" t="s">
        <v>6451</v>
      </c>
    </row>
    <row r="86" customFormat="false" ht="16.5" hidden="false" customHeight="true" outlineLevel="0" collapsed="false">
      <c r="B86" s="126" t="s">
        <v>6452</v>
      </c>
      <c r="C86" s="923" t="n">
        <v>0.5</v>
      </c>
      <c r="D86" s="924" t="n">
        <v>0.5</v>
      </c>
      <c r="E86" s="925" t="n">
        <v>0.5</v>
      </c>
      <c r="H86" s="565" t="s">
        <v>6453</v>
      </c>
    </row>
    <row r="87" customFormat="false" ht="16.5" hidden="false" customHeight="true" outlineLevel="0" collapsed="false">
      <c r="B87" s="126" t="s">
        <v>6454</v>
      </c>
      <c r="C87" s="923" t="n">
        <v>0.6</v>
      </c>
      <c r="D87" s="924" t="n">
        <v>0.6</v>
      </c>
      <c r="E87" s="925" t="n">
        <v>0.6</v>
      </c>
      <c r="H87" s="565" t="s">
        <v>6455</v>
      </c>
    </row>
    <row r="88" customFormat="false" ht="16.5" hidden="false" customHeight="true" outlineLevel="0" collapsed="false">
      <c r="B88" s="126" t="s">
        <v>6456</v>
      </c>
      <c r="C88" s="927" t="n">
        <v>50</v>
      </c>
      <c r="D88" s="928" t="n">
        <v>50</v>
      </c>
      <c r="E88" s="929" t="n">
        <v>50</v>
      </c>
      <c r="H88" s="565" t="s">
        <v>6457</v>
      </c>
    </row>
    <row r="89" customFormat="false" ht="15" hidden="false" customHeight="true" outlineLevel="0" collapsed="false">
      <c r="B89" s="6"/>
      <c r="E89" s="6"/>
    </row>
    <row r="90" customFormat="false" ht="21.75" hidden="false" customHeight="true" outlineLevel="0" collapsed="false">
      <c r="B90" s="125" t="s">
        <v>6458</v>
      </c>
      <c r="C90" s="125"/>
      <c r="D90" s="125"/>
      <c r="E90" s="125"/>
      <c r="F90" s="125"/>
      <c r="G90" s="125"/>
      <c r="H90" s="125"/>
    </row>
    <row r="91" customFormat="false" ht="18" hidden="false" customHeight="true" outlineLevel="0" collapsed="false">
      <c r="B91" s="113" t="s">
        <v>6459</v>
      </c>
      <c r="C91" s="1175" t="n">
        <f aca="false">IF($G$5="Bear",C82,IF($G$5="Bull",E82,D82))</f>
        <v>4</v>
      </c>
      <c r="E91" s="6"/>
      <c r="H91" s="565" t="s">
        <v>6460</v>
      </c>
    </row>
    <row r="92" customFormat="false" ht="18" hidden="false" customHeight="true" outlineLevel="0" collapsed="false">
      <c r="B92" s="126" t="s">
        <v>6461</v>
      </c>
      <c r="C92" s="1175" t="n">
        <f aca="false">IF($G$5="Bear",C83,IF($G$5="Bull",E83,D83))</f>
        <v>400</v>
      </c>
      <c r="E92" s="6"/>
      <c r="H92" s="565" t="s">
        <v>6460</v>
      </c>
    </row>
    <row r="93" customFormat="false" ht="18" hidden="false" customHeight="true" outlineLevel="0" collapsed="false">
      <c r="B93" s="113" t="s">
        <v>6462</v>
      </c>
      <c r="C93" s="1176" t="n">
        <f aca="false">IF($G$5="Bear",C84,IF($G$5="Bull",E84,D84))</f>
        <v>5</v>
      </c>
      <c r="E93" s="6"/>
      <c r="H93" s="565" t="s">
        <v>6460</v>
      </c>
    </row>
    <row r="94" customFormat="false" ht="18" hidden="false" customHeight="true" outlineLevel="0" collapsed="false">
      <c r="B94" s="126" t="s">
        <v>6463</v>
      </c>
      <c r="C94" s="1176" t="n">
        <f aca="false">IF($G$5="Bear",C85,IF($G$5="Bull",E85,D85))</f>
        <v>500</v>
      </c>
      <c r="E94" s="6"/>
      <c r="H94" s="565" t="s">
        <v>6460</v>
      </c>
    </row>
    <row r="95" customFormat="false" ht="18" hidden="false" customHeight="true" outlineLevel="0" collapsed="false">
      <c r="B95" s="126" t="s">
        <v>6464</v>
      </c>
      <c r="C95" s="1176" t="n">
        <f aca="false">IF($G$5="Bear",C88,IF($G$5="Bull",E88,D88))</f>
        <v>50</v>
      </c>
      <c r="E95" s="6"/>
      <c r="H95" s="565" t="s">
        <v>6465</v>
      </c>
    </row>
    <row r="96" customFormat="false" ht="15" hidden="false" customHeight="true" outlineLevel="0" collapsed="false">
      <c r="B96" s="6"/>
      <c r="E96" s="6"/>
    </row>
    <row r="97" customFormat="false" ht="16.5" hidden="false" customHeight="true" outlineLevel="0" collapsed="false">
      <c r="B97" s="126" t="s">
        <v>6466</v>
      </c>
      <c r="C97" s="976" t="n">
        <f aca="false">C91*C92*C93*12</f>
        <v>96000</v>
      </c>
      <c r="E97" s="6"/>
      <c r="H97" s="565" t="s">
        <v>6467</v>
      </c>
    </row>
    <row r="98" customFormat="false" ht="16.5" hidden="false" customHeight="true" outlineLevel="0" collapsed="false">
      <c r="B98" s="126" t="s">
        <v>6468</v>
      </c>
      <c r="C98" s="976" t="n">
        <f aca="false">C91*C94*12</f>
        <v>24000</v>
      </c>
      <c r="E98" s="6"/>
      <c r="H98" s="565" t="s">
        <v>6469</v>
      </c>
    </row>
    <row r="99" customFormat="false" ht="16.5" hidden="false" customHeight="true" outlineLevel="0" collapsed="false">
      <c r="B99" s="1061" t="s">
        <v>6470</v>
      </c>
      <c r="C99" s="1344" t="n">
        <f aca="false">C97+C98</f>
        <v>120000</v>
      </c>
      <c r="E99" s="6"/>
      <c r="H99" s="565" t="s">
        <v>6471</v>
      </c>
    </row>
    <row r="100" customFormat="false" ht="16.5" hidden="false" customHeight="true" outlineLevel="0" collapsed="false">
      <c r="B100" s="113" t="s">
        <v>6472</v>
      </c>
      <c r="C100" s="976" t="n">
        <f aca="false">C97*D86</f>
        <v>48000</v>
      </c>
      <c r="E100" s="6"/>
      <c r="H100" s="565" t="s">
        <v>6473</v>
      </c>
    </row>
    <row r="101" customFormat="false" ht="16.5" hidden="false" customHeight="true" outlineLevel="0" collapsed="false">
      <c r="B101" s="113" t="s">
        <v>6474</v>
      </c>
      <c r="C101" s="976" t="n">
        <f aca="false">C98*D87</f>
        <v>14400</v>
      </c>
      <c r="E101" s="6"/>
      <c r="H101" s="565" t="s">
        <v>6475</v>
      </c>
    </row>
    <row r="102" customFormat="false" ht="16.5" hidden="false" customHeight="true" outlineLevel="0" collapsed="false">
      <c r="B102" s="113" t="s">
        <v>6476</v>
      </c>
      <c r="C102" s="976" t="n">
        <f aca="false">C91*C95*12</f>
        <v>2400</v>
      </c>
      <c r="E102" s="6"/>
      <c r="H102" s="565" t="s">
        <v>6477</v>
      </c>
    </row>
    <row r="103" customFormat="false" ht="16.5" hidden="false" customHeight="true" outlineLevel="0" collapsed="false">
      <c r="B103" s="905" t="s">
        <v>6478</v>
      </c>
      <c r="C103" s="1344" t="n">
        <f aca="false">C100+C101+C102</f>
        <v>64800</v>
      </c>
      <c r="E103" s="6"/>
      <c r="H103" s="565" t="s">
        <v>6479</v>
      </c>
    </row>
  </sheetData>
  <mergeCells count="12">
    <mergeCell ref="B2:F2"/>
    <mergeCell ref="G2:J2"/>
    <mergeCell ref="B3:J3"/>
    <mergeCell ref="G4:H4"/>
    <mergeCell ref="B5:E5"/>
    <mergeCell ref="B23:H23"/>
    <mergeCell ref="B40:H40"/>
    <mergeCell ref="B47:H47"/>
    <mergeCell ref="B51:H51"/>
    <mergeCell ref="B54:H54"/>
    <mergeCell ref="B80:H80"/>
    <mergeCell ref="B90:H9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A1:I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24"/>
    <col collapsed="false" customWidth="true" hidden="false" outlineLevel="0" max="6" min="5" style="0" width="15"/>
    <col collapsed="false" customWidth="true" hidden="false" outlineLevel="0" max="7" min="7" style="0" width="28"/>
    <col collapsed="false" customWidth="true" hidden="false" outlineLevel="0" max="9" min="8" style="0" width="9"/>
  </cols>
  <sheetData>
    <row r="1" customFormat="false" ht="3.75" hidden="false" customHeight="true" outlineLevel="0" collapsed="false">
      <c r="A1" s="314"/>
      <c r="B1" s="315"/>
      <c r="C1" s="316"/>
      <c r="D1" s="315"/>
      <c r="E1" s="316"/>
      <c r="F1" s="316"/>
      <c r="G1" s="316"/>
      <c r="H1" s="2"/>
      <c r="I1" s="2"/>
    </row>
    <row r="2" customFormat="false" ht="27.75" hidden="false" customHeight="true" outlineLevel="0" collapsed="false">
      <c r="A2" s="314"/>
      <c r="B2" s="15" t="s">
        <v>6480</v>
      </c>
      <c r="C2" s="15"/>
      <c r="D2" s="15"/>
      <c r="E2" s="15"/>
      <c r="F2" s="15"/>
      <c r="G2" s="89" t="s">
        <v>995</v>
      </c>
      <c r="H2" s="89"/>
      <c r="I2" s="89"/>
    </row>
    <row r="3" customFormat="false" ht="48.75" hidden="false" customHeight="true" outlineLevel="0" collapsed="false">
      <c r="A3" s="314"/>
      <c r="B3" s="529" t="s">
        <v>6481</v>
      </c>
      <c r="C3" s="529"/>
      <c r="D3" s="529"/>
      <c r="E3" s="529"/>
      <c r="F3" s="529"/>
      <c r="G3" s="529"/>
      <c r="H3" s="529"/>
      <c r="I3" s="529"/>
    </row>
    <row r="4" customFormat="false" ht="15" hidden="false" customHeight="true" outlineLevel="0" collapsed="false">
      <c r="A4" s="314"/>
      <c r="B4" s="317"/>
      <c r="C4" s="314"/>
      <c r="D4" s="317"/>
      <c r="E4" s="314"/>
      <c r="F4" s="314" t="s">
        <v>3856</v>
      </c>
      <c r="G4" s="314"/>
    </row>
    <row r="5" customFormat="false" ht="78.75" hidden="false" customHeight="true" outlineLevel="0" collapsed="false">
      <c r="A5" s="314"/>
      <c r="B5" s="1255" t="s">
        <v>6482</v>
      </c>
      <c r="C5" s="1255"/>
      <c r="D5" s="1255"/>
      <c r="E5" s="1255"/>
      <c r="F5" s="1255"/>
      <c r="G5" s="1255"/>
      <c r="H5" s="1255"/>
      <c r="I5" s="1255"/>
    </row>
    <row r="6" customFormat="false" ht="27.75" hidden="false" customHeight="true" outlineLevel="0" collapsed="false">
      <c r="A6" s="314"/>
      <c r="B6" s="317"/>
      <c r="C6" s="314"/>
      <c r="D6" s="317"/>
      <c r="E6" s="314"/>
      <c r="F6" s="314"/>
      <c r="G6" s="314"/>
    </row>
    <row r="7" customFormat="false" ht="21.75" hidden="false" customHeight="true" outlineLevel="0" collapsed="false">
      <c r="A7" s="314"/>
      <c r="B7" s="97" t="s">
        <v>3857</v>
      </c>
      <c r="C7" s="98" t="s">
        <v>393</v>
      </c>
      <c r="D7" s="99" t="s">
        <v>1658</v>
      </c>
      <c r="E7" s="98" t="s">
        <v>3083</v>
      </c>
      <c r="F7" s="98" t="s">
        <v>102</v>
      </c>
      <c r="G7" s="98" t="s">
        <v>3859</v>
      </c>
    </row>
    <row r="8" customFormat="false" ht="21.75" hidden="false" customHeight="true" outlineLevel="0" collapsed="false">
      <c r="A8" s="314"/>
      <c r="B8" s="575" t="s">
        <v>6483</v>
      </c>
      <c r="C8" s="575"/>
      <c r="D8" s="575"/>
      <c r="E8" s="575"/>
      <c r="F8" s="575"/>
      <c r="G8" s="575"/>
      <c r="H8" s="575"/>
      <c r="I8" s="575"/>
    </row>
    <row r="9" customFormat="false" ht="27.75" hidden="false" customHeight="true" outlineLevel="0" collapsed="false">
      <c r="A9" s="314"/>
      <c r="B9" s="113" t="s">
        <v>6345</v>
      </c>
      <c r="C9" s="541" t="n">
        <f aca="false">'Esports · Drivers'!D7</f>
        <v>60</v>
      </c>
      <c r="D9" s="108" t="s">
        <v>6484</v>
      </c>
      <c r="E9" s="1260" t="s">
        <v>4807</v>
      </c>
      <c r="F9" s="1257" t="s">
        <v>3864</v>
      </c>
      <c r="G9" s="1258" t="s">
        <v>6485</v>
      </c>
    </row>
    <row r="10" customFormat="false" ht="27.75" hidden="false" customHeight="true" outlineLevel="0" collapsed="false">
      <c r="A10" s="314"/>
      <c r="B10" s="113" t="s">
        <v>6486</v>
      </c>
      <c r="C10" s="541" t="n">
        <f aca="false">'Esports · Drivers'!D8</f>
        <v>12</v>
      </c>
      <c r="D10" s="108" t="s">
        <v>6487</v>
      </c>
      <c r="E10" s="1260" t="s">
        <v>4807</v>
      </c>
      <c r="F10" s="1259" t="s">
        <v>4803</v>
      </c>
      <c r="G10" s="1258" t="s">
        <v>6488</v>
      </c>
    </row>
    <row r="11" customFormat="false" ht="27.75" hidden="false" customHeight="true" outlineLevel="0" collapsed="false">
      <c r="A11" s="314"/>
      <c r="B11" s="113" t="s">
        <v>6489</v>
      </c>
      <c r="C11" s="541" t="n">
        <f aca="false">'Esports · Drivers'!D9</f>
        <v>30</v>
      </c>
      <c r="D11" s="108" t="s">
        <v>6490</v>
      </c>
      <c r="E11" s="1260" t="s">
        <v>4807</v>
      </c>
      <c r="F11" s="1216" t="s">
        <v>2765</v>
      </c>
      <c r="G11" s="1258" t="s">
        <v>6491</v>
      </c>
    </row>
    <row r="12" customFormat="false" ht="27.75" hidden="false" customHeight="true" outlineLevel="0" collapsed="false">
      <c r="A12" s="314"/>
      <c r="B12" s="113" t="s">
        <v>5392</v>
      </c>
      <c r="C12" s="1218" t="n">
        <f aca="false">'Esports · Drivers'!D10</f>
        <v>0.33</v>
      </c>
      <c r="D12" s="108" t="s">
        <v>6492</v>
      </c>
      <c r="E12" s="1261" t="s">
        <v>4821</v>
      </c>
      <c r="F12" s="1257" t="s">
        <v>3864</v>
      </c>
      <c r="G12" s="1258" t="s">
        <v>6493</v>
      </c>
    </row>
    <row r="13" customFormat="false" ht="21.75" hidden="false" customHeight="true" outlineLevel="0" collapsed="false">
      <c r="A13" s="314"/>
      <c r="B13" s="575" t="s">
        <v>6494</v>
      </c>
      <c r="C13" s="575"/>
      <c r="D13" s="575"/>
      <c r="E13" s="575"/>
      <c r="F13" s="575"/>
      <c r="G13" s="575"/>
      <c r="H13" s="575"/>
      <c r="I13" s="575"/>
    </row>
    <row r="14" customFormat="false" ht="27.75" hidden="false" customHeight="true" outlineLevel="0" collapsed="false">
      <c r="A14" s="314"/>
      <c r="B14" s="113" t="s">
        <v>6495</v>
      </c>
      <c r="C14" s="543" t="n">
        <f aca="false">'Esports · Drivers'!D11</f>
        <v>5.25</v>
      </c>
      <c r="D14" s="108" t="s">
        <v>6496</v>
      </c>
      <c r="E14" s="1256" t="s">
        <v>4796</v>
      </c>
      <c r="F14" s="1257" t="s">
        <v>1600</v>
      </c>
      <c r="G14" s="1258" t="s">
        <v>6497</v>
      </c>
    </row>
    <row r="15" customFormat="false" ht="27.75" hidden="false" customHeight="true" outlineLevel="0" collapsed="false">
      <c r="A15" s="314"/>
      <c r="B15" s="113" t="s">
        <v>6498</v>
      </c>
      <c r="C15" s="543" t="n">
        <f aca="false">'Esports · Drivers'!D12</f>
        <v>8.5</v>
      </c>
      <c r="D15" s="108" t="s">
        <v>6499</v>
      </c>
      <c r="E15" s="1256" t="s">
        <v>4796</v>
      </c>
      <c r="F15" s="1257" t="s">
        <v>1600</v>
      </c>
      <c r="G15" s="1258" t="s">
        <v>6500</v>
      </c>
    </row>
    <row r="16" customFormat="false" ht="27.75" hidden="false" customHeight="true" outlineLevel="0" collapsed="false">
      <c r="A16" s="314"/>
      <c r="B16" s="113" t="s">
        <v>6357</v>
      </c>
      <c r="C16" s="1218" t="n">
        <f aca="false">'Esports · Drivers'!D13</f>
        <v>0.45</v>
      </c>
      <c r="D16" s="108" t="s">
        <v>5773</v>
      </c>
      <c r="E16" s="1261" t="s">
        <v>4821</v>
      </c>
      <c r="F16" s="1259" t="s">
        <v>4803</v>
      </c>
      <c r="G16" s="1258" t="s">
        <v>6501</v>
      </c>
    </row>
    <row r="17" customFormat="false" ht="27.75" hidden="false" customHeight="true" outlineLevel="0" collapsed="false">
      <c r="A17" s="314"/>
      <c r="B17" s="113" t="s">
        <v>6502</v>
      </c>
      <c r="C17" s="547" t="n">
        <f aca="false">'Esports · Drivers'!C48</f>
        <v>6.7125</v>
      </c>
      <c r="D17" s="108" t="s">
        <v>6503</v>
      </c>
      <c r="E17" s="1261" t="s">
        <v>4821</v>
      </c>
      <c r="F17" s="1257" t="s">
        <v>1600</v>
      </c>
      <c r="G17" s="1258" t="s">
        <v>6504</v>
      </c>
    </row>
    <row r="18" customFormat="false" ht="21.75" hidden="false" customHeight="true" outlineLevel="0" collapsed="false">
      <c r="A18" s="314"/>
      <c r="B18" s="575" t="s">
        <v>6505</v>
      </c>
      <c r="C18" s="575"/>
      <c r="D18" s="575"/>
      <c r="E18" s="575"/>
      <c r="F18" s="575"/>
      <c r="G18" s="575"/>
      <c r="H18" s="575"/>
      <c r="I18" s="575"/>
    </row>
    <row r="19" customFormat="false" ht="27.75" hidden="false" customHeight="true" outlineLevel="0" collapsed="false">
      <c r="A19" s="314"/>
      <c r="B19" s="113" t="s">
        <v>6359</v>
      </c>
      <c r="C19" s="541" t="n">
        <f aca="false">'Esports · Drivers'!D14</f>
        <v>140</v>
      </c>
      <c r="D19" s="108" t="s">
        <v>6506</v>
      </c>
      <c r="E19" s="1261" t="s">
        <v>4821</v>
      </c>
      <c r="F19" s="1257" t="s">
        <v>1600</v>
      </c>
      <c r="G19" s="1258" t="s">
        <v>6507</v>
      </c>
    </row>
    <row r="20" customFormat="false" ht="27.75" hidden="false" customHeight="true" outlineLevel="0" collapsed="false">
      <c r="A20" s="314"/>
      <c r="B20" s="113" t="s">
        <v>6508</v>
      </c>
      <c r="C20" s="547" t="n">
        <f aca="false">'Esports · Drivers'!D15</f>
        <v>30</v>
      </c>
      <c r="D20" s="108" t="s">
        <v>6509</v>
      </c>
      <c r="E20" s="1256" t="s">
        <v>4796</v>
      </c>
      <c r="F20" s="1259" t="s">
        <v>4803</v>
      </c>
      <c r="G20" s="1258" t="s">
        <v>6510</v>
      </c>
    </row>
    <row r="21" customFormat="false" ht="27.75" hidden="false" customHeight="true" outlineLevel="0" collapsed="false">
      <c r="A21" s="314"/>
      <c r="B21" s="113" t="s">
        <v>6363</v>
      </c>
      <c r="C21" s="541" t="n">
        <f aca="false">'Esports · Drivers'!D16</f>
        <v>20</v>
      </c>
      <c r="D21" s="108" t="s">
        <v>3882</v>
      </c>
      <c r="E21" s="1256" t="s">
        <v>4796</v>
      </c>
      <c r="F21" s="1259" t="s">
        <v>4803</v>
      </c>
      <c r="G21" s="1258" t="s">
        <v>6511</v>
      </c>
    </row>
    <row r="22" customFormat="false" ht="27.75" hidden="false" customHeight="true" outlineLevel="0" collapsed="false">
      <c r="A22" s="314"/>
      <c r="B22" s="113" t="s">
        <v>6365</v>
      </c>
      <c r="C22" s="1218" t="n">
        <f aca="false">'Esports · Drivers'!D17</f>
        <v>0.25</v>
      </c>
      <c r="D22" s="108" t="s">
        <v>6512</v>
      </c>
      <c r="E22" s="1260" t="s">
        <v>4807</v>
      </c>
      <c r="F22" s="1216" t="s">
        <v>2765</v>
      </c>
      <c r="G22" s="1258" t="s">
        <v>6513</v>
      </c>
    </row>
    <row r="23" customFormat="false" ht="21.75" hidden="false" customHeight="true" outlineLevel="0" collapsed="false">
      <c r="A23" s="314"/>
      <c r="B23" s="575" t="s">
        <v>6514</v>
      </c>
      <c r="C23" s="575"/>
      <c r="D23" s="575"/>
      <c r="E23" s="575"/>
      <c r="F23" s="575"/>
      <c r="G23" s="575"/>
      <c r="H23" s="575"/>
      <c r="I23" s="575"/>
    </row>
    <row r="24" customFormat="false" ht="27.75" hidden="false" customHeight="true" outlineLevel="0" collapsed="false">
      <c r="B24" s="113" t="s">
        <v>6367</v>
      </c>
      <c r="C24" s="541" t="n">
        <f aca="false">'Esports · Drivers'!D18</f>
        <v>12</v>
      </c>
      <c r="D24" s="108" t="s">
        <v>3917</v>
      </c>
      <c r="E24" s="1256" t="s">
        <v>4796</v>
      </c>
      <c r="F24" s="1259" t="s">
        <v>4803</v>
      </c>
      <c r="G24" s="1258" t="s">
        <v>6515</v>
      </c>
    </row>
    <row r="25" customFormat="false" ht="27.75" hidden="false" customHeight="true" outlineLevel="0" collapsed="false">
      <c r="B25" s="113" t="s">
        <v>6369</v>
      </c>
      <c r="C25" s="541" t="n">
        <f aca="false">'Esports · Drivers'!D19</f>
        <v>42</v>
      </c>
      <c r="D25" s="108" t="s">
        <v>6516</v>
      </c>
      <c r="E25" s="1256" t="s">
        <v>4796</v>
      </c>
      <c r="F25" s="1259" t="s">
        <v>4803</v>
      </c>
      <c r="G25" s="1258" t="s">
        <v>6517</v>
      </c>
    </row>
    <row r="26" customFormat="false" ht="27.75" hidden="false" customHeight="true" outlineLevel="0" collapsed="false">
      <c r="B26" s="113" t="s">
        <v>6518</v>
      </c>
      <c r="C26" s="543" t="n">
        <f aca="false">'Esports · Drivers'!D20</f>
        <v>7</v>
      </c>
      <c r="D26" s="108" t="s">
        <v>6519</v>
      </c>
      <c r="E26" s="1256" t="s">
        <v>4796</v>
      </c>
      <c r="F26" s="1216" t="s">
        <v>2765</v>
      </c>
      <c r="G26" s="1258" t="s">
        <v>6520</v>
      </c>
    </row>
    <row r="27" customFormat="false" ht="27.75" hidden="false" customHeight="true" outlineLevel="0" collapsed="false">
      <c r="B27" s="113" t="s">
        <v>6521</v>
      </c>
      <c r="C27" s="541" t="n">
        <f aca="false">'Esports · Drivers'!D77</f>
        <v>0</v>
      </c>
      <c r="D27" s="108" t="s">
        <v>5820</v>
      </c>
      <c r="E27" s="1260" t="s">
        <v>4807</v>
      </c>
      <c r="F27" s="1259" t="s">
        <v>4803</v>
      </c>
      <c r="G27" s="1258" t="s">
        <v>6522</v>
      </c>
    </row>
    <row r="28" customFormat="false" ht="27.75" hidden="false" customHeight="true" outlineLevel="0" collapsed="false">
      <c r="B28" s="113" t="s">
        <v>6523</v>
      </c>
      <c r="C28" s="541" t="n">
        <f aca="false">'Esports · Drivers'!D78</f>
        <v>0</v>
      </c>
      <c r="D28" s="108" t="s">
        <v>6524</v>
      </c>
      <c r="E28" s="1256" t="s">
        <v>4796</v>
      </c>
      <c r="F28" s="1216" t="s">
        <v>2765</v>
      </c>
      <c r="G28" s="1258" t="s">
        <v>6525</v>
      </c>
    </row>
    <row r="29" customFormat="false" ht="21.75" hidden="false" customHeight="true" outlineLevel="0" collapsed="false">
      <c r="B29" s="575" t="s">
        <v>6526</v>
      </c>
      <c r="C29" s="575"/>
      <c r="D29" s="575"/>
      <c r="E29" s="575"/>
      <c r="F29" s="575"/>
      <c r="G29" s="575"/>
      <c r="H29" s="575"/>
      <c r="I29" s="575"/>
    </row>
    <row r="30" customFormat="false" ht="27.75" hidden="false" customHeight="true" outlineLevel="0" collapsed="false">
      <c r="B30" s="113" t="s">
        <v>6444</v>
      </c>
      <c r="C30" s="541" t="n">
        <f aca="false">'Esports · Drivers'!D82</f>
        <v>4</v>
      </c>
      <c r="D30" s="108" t="s">
        <v>6527</v>
      </c>
      <c r="E30" s="1261" t="s">
        <v>4821</v>
      </c>
      <c r="F30" s="1259" t="s">
        <v>4803</v>
      </c>
      <c r="G30" s="1258" t="s">
        <v>6528</v>
      </c>
    </row>
    <row r="31" customFormat="false" ht="27.75" hidden="false" customHeight="true" outlineLevel="0" collapsed="false">
      <c r="B31" s="113" t="s">
        <v>6446</v>
      </c>
      <c r="C31" s="541" t="n">
        <f aca="false">'Esports · Drivers'!D83</f>
        <v>400</v>
      </c>
      <c r="D31" s="108" t="s">
        <v>6529</v>
      </c>
      <c r="E31" s="1261" t="s">
        <v>4821</v>
      </c>
      <c r="F31" s="1257" t="s">
        <v>1600</v>
      </c>
      <c r="G31" s="1258" t="s">
        <v>6530</v>
      </c>
    </row>
    <row r="32" customFormat="false" ht="27.75" hidden="false" customHeight="true" outlineLevel="0" collapsed="false">
      <c r="B32" s="113" t="s">
        <v>6531</v>
      </c>
      <c r="C32" s="541" t="n">
        <f aca="false">'Esports · Drivers'!D84</f>
        <v>5</v>
      </c>
      <c r="D32" s="108" t="s">
        <v>6532</v>
      </c>
      <c r="E32" s="1256" t="s">
        <v>4796</v>
      </c>
      <c r="F32" s="1259" t="s">
        <v>4803</v>
      </c>
      <c r="G32" s="1258" t="s">
        <v>6533</v>
      </c>
    </row>
    <row r="33" customFormat="false" ht="27.75" hidden="false" customHeight="true" outlineLevel="0" collapsed="false">
      <c r="B33" s="113" t="s">
        <v>6534</v>
      </c>
      <c r="C33" s="541" t="n">
        <f aca="false">'Esports · Drivers'!D85</f>
        <v>500</v>
      </c>
      <c r="D33" s="108" t="s">
        <v>6535</v>
      </c>
      <c r="E33" s="1261" t="s">
        <v>4821</v>
      </c>
      <c r="F33" s="1257" t="s">
        <v>1600</v>
      </c>
      <c r="G33" s="1258" t="s">
        <v>6536</v>
      </c>
    </row>
    <row r="34" customFormat="false" ht="21.75" hidden="false" customHeight="true" outlineLevel="0" collapsed="false">
      <c r="B34" s="575" t="s">
        <v>5824</v>
      </c>
      <c r="C34" s="575"/>
      <c r="D34" s="575"/>
      <c r="E34" s="575"/>
      <c r="F34" s="575"/>
      <c r="G34" s="575"/>
      <c r="H34" s="575"/>
      <c r="I34" s="575"/>
    </row>
    <row r="35" customFormat="false" ht="27.75" hidden="false" customHeight="true" outlineLevel="0" collapsed="false">
      <c r="B35" s="113" t="s">
        <v>6537</v>
      </c>
      <c r="C35" s="541" t="n">
        <f aca="false">'Esports · Drivers'!C57</f>
        <v>24000</v>
      </c>
      <c r="D35" s="108" t="s">
        <v>4837</v>
      </c>
      <c r="E35" s="1260" t="s">
        <v>4807</v>
      </c>
      <c r="F35" s="1216" t="s">
        <v>2765</v>
      </c>
      <c r="G35" s="1258" t="s">
        <v>6538</v>
      </c>
    </row>
    <row r="36" customFormat="false" ht="27.75" hidden="false" customHeight="true" outlineLevel="0" collapsed="false">
      <c r="B36" s="113" t="s">
        <v>6539</v>
      </c>
      <c r="C36" s="541" t="n">
        <f aca="false">'Esports · Drivers'!C58</f>
        <v>30600</v>
      </c>
      <c r="D36" s="108" t="s">
        <v>6540</v>
      </c>
      <c r="E36" s="1260" t="s">
        <v>4807</v>
      </c>
      <c r="F36" s="1259" t="s">
        <v>4803</v>
      </c>
      <c r="G36" s="1258" t="s">
        <v>6541</v>
      </c>
    </row>
    <row r="37" customFormat="false" ht="27.75" hidden="false" customHeight="true" outlineLevel="0" collapsed="false">
      <c r="B37" s="113" t="s">
        <v>4944</v>
      </c>
      <c r="C37" s="547" t="n">
        <f aca="false">'Esports · Drivers'!C59</f>
        <v>0</v>
      </c>
      <c r="D37" s="108" t="s">
        <v>6542</v>
      </c>
      <c r="E37" s="1256" t="s">
        <v>4796</v>
      </c>
      <c r="F37" s="1216" t="s">
        <v>2765</v>
      </c>
      <c r="G37" s="1258" t="s">
        <v>6543</v>
      </c>
    </row>
    <row r="38" customFormat="false" ht="27.75" hidden="false" customHeight="true" outlineLevel="0" collapsed="false">
      <c r="B38" s="113" t="s">
        <v>6544</v>
      </c>
      <c r="C38" s="547" t="n">
        <f aca="false">'Esports · Drivers'!C60</f>
        <v>6000</v>
      </c>
      <c r="D38" s="108" t="s">
        <v>6545</v>
      </c>
      <c r="E38" s="1260" t="s">
        <v>4807</v>
      </c>
      <c r="F38" s="1216" t="s">
        <v>2765</v>
      </c>
      <c r="G38" s="1258" t="s">
        <v>6546</v>
      </c>
    </row>
    <row r="39" customFormat="false" ht="27.75" hidden="false" customHeight="true" outlineLevel="0" collapsed="false">
      <c r="B39" s="113" t="s">
        <v>6547</v>
      </c>
      <c r="C39" s="547" t="n">
        <f aca="false">'Esports · Drivers'!C61</f>
        <v>9600</v>
      </c>
      <c r="D39" s="108" t="s">
        <v>6548</v>
      </c>
      <c r="E39" s="1256" t="s">
        <v>4796</v>
      </c>
      <c r="F39" s="1216" t="s">
        <v>2765</v>
      </c>
      <c r="G39" s="1258" t="s">
        <v>6549</v>
      </c>
    </row>
    <row r="40" customFormat="false" ht="27.75" hidden="false" customHeight="true" outlineLevel="0" collapsed="false">
      <c r="B40" s="113" t="s">
        <v>6550</v>
      </c>
      <c r="C40" s="541" t="n">
        <f aca="false">'Esports · Drivers'!C65</f>
        <v>1750</v>
      </c>
      <c r="D40" s="108" t="s">
        <v>6551</v>
      </c>
      <c r="E40" s="1260" t="s">
        <v>4807</v>
      </c>
      <c r="F40" s="1259" t="s">
        <v>4803</v>
      </c>
      <c r="G40" s="1258" t="s">
        <v>6552</v>
      </c>
    </row>
    <row r="41" customFormat="false" ht="27.75" hidden="false" customHeight="true" outlineLevel="0" collapsed="false">
      <c r="B41" s="113" t="s">
        <v>6553</v>
      </c>
      <c r="C41" s="1431" t="n">
        <f aca="false">'Esports · Drivers'!C66</f>
        <v>3</v>
      </c>
      <c r="D41" s="108" t="s">
        <v>6554</v>
      </c>
      <c r="E41" s="1260" t="s">
        <v>4807</v>
      </c>
      <c r="F41" s="1259" t="s">
        <v>4803</v>
      </c>
      <c r="G41" s="1258" t="s">
        <v>6555</v>
      </c>
    </row>
    <row r="42" customFormat="false" ht="27.75" hidden="false" customHeight="true" outlineLevel="0" collapsed="false">
      <c r="B42" s="113" t="s">
        <v>6556</v>
      </c>
      <c r="C42" s="541" t="n">
        <f aca="false">'Esports · Drivers'!C67</f>
        <v>35000</v>
      </c>
      <c r="D42" s="108" t="s">
        <v>6430</v>
      </c>
      <c r="E42" s="1260" t="s">
        <v>4807</v>
      </c>
      <c r="F42" s="1259" t="s">
        <v>4803</v>
      </c>
      <c r="G42" s="1258" t="s">
        <v>6557</v>
      </c>
    </row>
    <row r="43" customFormat="false" ht="27.75" hidden="false" customHeight="true" outlineLevel="0" collapsed="false">
      <c r="B43" s="113" t="s">
        <v>6558</v>
      </c>
      <c r="C43" s="541" t="n">
        <f aca="false">'Esports · Drivers'!C70</f>
        <v>0.2</v>
      </c>
      <c r="D43" s="108" t="s">
        <v>6559</v>
      </c>
      <c r="E43" s="1256" t="s">
        <v>4796</v>
      </c>
      <c r="F43" s="1259" t="s">
        <v>4803</v>
      </c>
      <c r="G43" s="1258" t="s">
        <v>6560</v>
      </c>
    </row>
    <row r="44" customFormat="false" ht="27.75" hidden="false" customHeight="true" outlineLevel="0" collapsed="false">
      <c r="B44" s="113" t="s">
        <v>6561</v>
      </c>
      <c r="C44" s="541" t="n">
        <f aca="false">'Esports · Drivers'!C74</f>
        <v>0.15</v>
      </c>
      <c r="D44" s="108" t="s">
        <v>6562</v>
      </c>
      <c r="E44" s="1256" t="s">
        <v>4796</v>
      </c>
      <c r="F44" s="1259" t="s">
        <v>4803</v>
      </c>
      <c r="G44" s="1258" t="s">
        <v>6563</v>
      </c>
    </row>
    <row r="45" customFormat="false" ht="21.75" hidden="false" customHeight="true" outlineLevel="0" collapsed="false">
      <c r="B45" s="575" t="s">
        <v>5844</v>
      </c>
      <c r="C45" s="575"/>
      <c r="D45" s="575"/>
      <c r="E45" s="575"/>
      <c r="F45" s="575"/>
      <c r="G45" s="575"/>
      <c r="H45" s="575"/>
      <c r="I45" s="575"/>
    </row>
    <row r="46" customFormat="false" ht="27.75" hidden="false" customHeight="true" outlineLevel="0" collapsed="false">
      <c r="B46" s="113" t="s">
        <v>6564</v>
      </c>
      <c r="C46" s="541" t="n">
        <v>7</v>
      </c>
      <c r="D46" s="108" t="s">
        <v>3947</v>
      </c>
      <c r="E46" s="1260" t="s">
        <v>4807</v>
      </c>
      <c r="F46" s="1216" t="s">
        <v>2765</v>
      </c>
      <c r="G46" s="1258" t="s">
        <v>6565</v>
      </c>
    </row>
    <row r="47" customFormat="false" ht="27.75" hidden="false" customHeight="true" outlineLevel="0" collapsed="false">
      <c r="B47" s="113" t="s">
        <v>5848</v>
      </c>
      <c r="C47" s="541" t="n">
        <v>15</v>
      </c>
      <c r="D47" s="108" t="s">
        <v>3950</v>
      </c>
      <c r="E47" s="1260" t="s">
        <v>4807</v>
      </c>
      <c r="F47" s="1216" t="s">
        <v>2765</v>
      </c>
      <c r="G47" s="1258" t="s">
        <v>6566</v>
      </c>
    </row>
    <row r="48" customFormat="false" ht="27.75" hidden="false" customHeight="true" outlineLevel="0" collapsed="false">
      <c r="B48" s="113" t="s">
        <v>5850</v>
      </c>
      <c r="C48" s="1218" t="n">
        <v>0.01</v>
      </c>
      <c r="D48" s="108" t="s">
        <v>6567</v>
      </c>
      <c r="E48" s="1260" t="s">
        <v>4807</v>
      </c>
      <c r="F48" s="1216" t="s">
        <v>2765</v>
      </c>
      <c r="G48" s="1258" t="s">
        <v>6568</v>
      </c>
    </row>
    <row r="49" customFormat="false" ht="27.75" hidden="false" customHeight="true" outlineLevel="0" collapsed="false">
      <c r="B49" s="113" t="s">
        <v>5853</v>
      </c>
      <c r="C49" s="1218" t="n">
        <v>0.04</v>
      </c>
      <c r="D49" s="108" t="s">
        <v>6569</v>
      </c>
      <c r="E49" s="1256" t="s">
        <v>4796</v>
      </c>
      <c r="F49" s="1259" t="s">
        <v>4803</v>
      </c>
      <c r="G49" s="1258" t="s">
        <v>6570</v>
      </c>
    </row>
    <row r="50" customFormat="false" ht="21.75" hidden="false" customHeight="true" outlineLevel="0" collapsed="false">
      <c r="B50" s="575" t="s">
        <v>6571</v>
      </c>
      <c r="C50" s="575"/>
      <c r="D50" s="575"/>
      <c r="E50" s="575"/>
      <c r="F50" s="575"/>
      <c r="G50" s="575"/>
      <c r="H50" s="575"/>
      <c r="I50" s="575"/>
    </row>
    <row r="51" customFormat="false" ht="27.75" hidden="false" customHeight="true" outlineLevel="0" collapsed="false">
      <c r="B51" s="113" t="s">
        <v>6572</v>
      </c>
      <c r="C51" s="547" t="n">
        <f aca="false">'Esports · Drivers'!D21</f>
        <v>1.5</v>
      </c>
      <c r="D51" s="108" t="s">
        <v>3944</v>
      </c>
      <c r="E51" s="1256" t="s">
        <v>4796</v>
      </c>
      <c r="F51" s="1216" t="s">
        <v>2765</v>
      </c>
      <c r="G51" s="1258" t="s">
        <v>6573</v>
      </c>
    </row>
    <row r="52" customFormat="false" ht="27.75" hidden="false" customHeight="true" outlineLevel="0" collapsed="false">
      <c r="B52" s="113" t="s">
        <v>6574</v>
      </c>
      <c r="C52" s="547" t="n">
        <f aca="false">'Esports · Revenue'!E24</f>
        <v>128304</v>
      </c>
      <c r="D52" s="108" t="s">
        <v>6575</v>
      </c>
      <c r="E52" s="1256" t="s">
        <v>4796</v>
      </c>
      <c r="F52" s="1216" t="s">
        <v>2765</v>
      </c>
      <c r="G52" s="1258" t="s">
        <v>6576</v>
      </c>
    </row>
    <row r="53" customFormat="false" ht="15" hidden="false" customHeight="true" outlineLevel="0" collapsed="false">
      <c r="B53" s="6"/>
      <c r="D53" s="6"/>
    </row>
    <row r="54" customFormat="false" ht="21.75" hidden="false" customHeight="true" outlineLevel="0" collapsed="false">
      <c r="B54" s="43" t="s">
        <v>4897</v>
      </c>
      <c r="C54" s="43"/>
      <c r="D54" s="43"/>
      <c r="E54" s="43"/>
      <c r="F54" s="43"/>
      <c r="G54" s="43"/>
      <c r="H54" s="43"/>
      <c r="I54" s="43"/>
    </row>
    <row r="55" customFormat="false" ht="120" hidden="false" customHeight="true" outlineLevel="0" collapsed="false">
      <c r="B55" s="134" t="s">
        <v>6577</v>
      </c>
      <c r="C55" s="134"/>
      <c r="D55" s="134"/>
      <c r="E55" s="134"/>
      <c r="F55" s="134"/>
      <c r="G55" s="134"/>
      <c r="H55" s="134"/>
      <c r="I55" s="134"/>
    </row>
    <row r="57" customFormat="false" ht="15" hidden="false" customHeight="true" outlineLevel="0" collapsed="false">
      <c r="B57" s="0" t="s">
        <v>4901</v>
      </c>
      <c r="C57" s="0" t="n">
        <v>0.6</v>
      </c>
    </row>
    <row r="58" customFormat="false" ht="15" hidden="false" customHeight="true" outlineLevel="0" collapsed="false">
      <c r="B58" s="0" t="s">
        <v>4902</v>
      </c>
      <c r="C58" s="0" t="n">
        <v>0.4</v>
      </c>
    </row>
  </sheetData>
  <mergeCells count="14">
    <mergeCell ref="B2:F2"/>
    <mergeCell ref="G2:I2"/>
    <mergeCell ref="B3:I3"/>
    <mergeCell ref="B5:I5"/>
    <mergeCell ref="B8:I8"/>
    <mergeCell ref="B13:I13"/>
    <mergeCell ref="B18:I18"/>
    <mergeCell ref="B23:I23"/>
    <mergeCell ref="B29:I29"/>
    <mergeCell ref="B34:I34"/>
    <mergeCell ref="B45:I45"/>
    <mergeCell ref="B50:I50"/>
    <mergeCell ref="B54:I54"/>
    <mergeCell ref="B55:I55"/>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6578</v>
      </c>
      <c r="C2" s="917"/>
      <c r="D2" s="917"/>
      <c r="E2" s="917"/>
      <c r="F2" s="917"/>
      <c r="G2" s="89" t="s">
        <v>3432</v>
      </c>
      <c r="H2" s="89"/>
      <c r="I2" s="89"/>
      <c r="J2" s="89"/>
    </row>
    <row r="3" customFormat="false" ht="33.75" hidden="false" customHeight="true" outlineLevel="0" collapsed="false">
      <c r="B3" s="90" t="s">
        <v>6579</v>
      </c>
      <c r="C3" s="90"/>
      <c r="D3" s="90"/>
      <c r="E3" s="90"/>
      <c r="F3" s="90"/>
      <c r="G3" s="90"/>
      <c r="H3" s="90"/>
      <c r="I3" s="90"/>
      <c r="J3" s="90"/>
    </row>
    <row r="4" customFormat="false" ht="15" hidden="false" customHeight="true" outlineLevel="0" collapsed="false">
      <c r="B4" s="6"/>
      <c r="I4" s="6"/>
    </row>
    <row r="5" customFormat="false" ht="21.75" hidden="false" customHeight="true" outlineLevel="0" collapsed="false">
      <c r="B5" s="96" t="s">
        <v>6580</v>
      </c>
      <c r="C5" s="96"/>
      <c r="D5" s="96"/>
      <c r="E5" s="96"/>
      <c r="F5" s="96"/>
      <c r="G5" s="96"/>
      <c r="H5" s="96"/>
      <c r="I5" s="6"/>
    </row>
    <row r="6" customFormat="false" ht="19.5" hidden="false" customHeight="true" outlineLevel="0" collapsed="false">
      <c r="B6" s="97" t="s">
        <v>3445</v>
      </c>
      <c r="C6" s="98" t="s">
        <v>1531</v>
      </c>
      <c r="D6" s="98" t="s">
        <v>5867</v>
      </c>
      <c r="E6" s="98" t="s">
        <v>4770</v>
      </c>
      <c r="G6" s="551" t="s">
        <v>3508</v>
      </c>
      <c r="I6" s="6"/>
    </row>
    <row r="7" customFormat="false" ht="18" hidden="false" customHeight="true" outlineLevel="0" collapsed="false">
      <c r="B7" s="126" t="s">
        <v>6581</v>
      </c>
      <c r="C7" s="1366" t="n">
        <f aca="false">'Esports · Drivers'!C44</f>
        <v>4328</v>
      </c>
      <c r="D7" s="1432" t="n">
        <f aca="false">'Esports · Drivers'!C48</f>
        <v>6.7125</v>
      </c>
      <c r="E7" s="544" t="n">
        <f aca="false">'Esports · Drivers'!C44*'Esports · Drivers'!C48*12</f>
        <v>348620.4</v>
      </c>
      <c r="G7" s="565" t="s">
        <v>6582</v>
      </c>
      <c r="I7" s="6"/>
    </row>
    <row r="8" customFormat="false" ht="18" hidden="false" customHeight="true" outlineLevel="0" collapsed="false">
      <c r="B8" s="126" t="s">
        <v>6583</v>
      </c>
      <c r="C8" s="1366" t="n">
        <f aca="false">'Esports · Drivers'!C31</f>
        <v>140</v>
      </c>
      <c r="D8" s="1432" t="n">
        <f aca="false">'Esports · Drivers'!C32</f>
        <v>30</v>
      </c>
      <c r="E8" s="544" t="n">
        <f aca="false">'Esports · Drivers'!C31*'Esports · Drivers'!C32*12</f>
        <v>50400</v>
      </c>
      <c r="G8" s="565" t="s">
        <v>6584</v>
      </c>
      <c r="I8" s="6"/>
    </row>
    <row r="9" customFormat="false" ht="18" hidden="false" customHeight="true" outlineLevel="0" collapsed="false">
      <c r="B9" s="126" t="s">
        <v>6585</v>
      </c>
      <c r="C9" s="1366" t="n">
        <f aca="false">'Esports · Drivers'!C43</f>
        <v>2800</v>
      </c>
      <c r="D9" s="1432" t="n">
        <f aca="false">'Esports · Drivers'!C49</f>
        <v>3.9375</v>
      </c>
      <c r="E9" s="544" t="n">
        <f aca="false">'Esports · Drivers'!C43*'Esports · Drivers'!C49*12</f>
        <v>132300</v>
      </c>
      <c r="G9" s="565" t="s">
        <v>6586</v>
      </c>
      <c r="I9" s="6"/>
    </row>
    <row r="10" customFormat="false" ht="18" hidden="false" customHeight="true" outlineLevel="0" collapsed="false">
      <c r="B10" s="113" t="s">
        <v>6339</v>
      </c>
      <c r="C10" s="1366" t="n">
        <f aca="false">'Esports · Drivers'!C35*'Esports · Drivers'!C36*12</f>
        <v>6048</v>
      </c>
      <c r="D10" s="1432" t="n">
        <f aca="false">'Esports · Drivers'!C37</f>
        <v>7</v>
      </c>
      <c r="E10" s="544" t="n">
        <f aca="false">'Esports · Drivers'!C35*'Esports · Drivers'!C36*'Esports · Drivers'!C37*12</f>
        <v>42336</v>
      </c>
      <c r="G10" s="565" t="s">
        <v>6587</v>
      </c>
      <c r="I10" s="6"/>
    </row>
    <row r="11" customFormat="false" ht="33.75" hidden="false" customHeight="true" outlineLevel="0" collapsed="false">
      <c r="B11" s="126" t="s">
        <v>6588</v>
      </c>
      <c r="E11" s="544" t="n">
        <f aca="false">'Esports · Drivers'!C99</f>
        <v>120000</v>
      </c>
      <c r="I11" s="6"/>
    </row>
    <row r="12" customFormat="false" ht="27.75" hidden="false" customHeight="true" outlineLevel="0" collapsed="false">
      <c r="B12" s="1266" t="s">
        <v>6589</v>
      </c>
      <c r="E12" s="578" t="n">
        <f aca="false">SUM(E7:E11)</f>
        <v>693656.4</v>
      </c>
      <c r="I12" s="6"/>
    </row>
    <row r="13" customFormat="false" ht="15" hidden="false" customHeight="true" outlineLevel="0" collapsed="false">
      <c r="B13" s="6"/>
      <c r="I13" s="6"/>
    </row>
    <row r="14" customFormat="false" ht="15" hidden="false" customHeight="true" outlineLevel="0" collapsed="false">
      <c r="B14" s="6"/>
      <c r="I14" s="6"/>
    </row>
    <row r="15" customFormat="false" ht="21.75" hidden="false" customHeight="true" outlineLevel="0" collapsed="false">
      <c r="B15" s="575" t="s">
        <v>6590</v>
      </c>
      <c r="C15" s="575"/>
      <c r="D15" s="575"/>
      <c r="E15" s="575"/>
      <c r="F15" s="575"/>
      <c r="G15" s="575"/>
      <c r="H15" s="575"/>
      <c r="I15" s="6"/>
    </row>
    <row r="16" customFormat="false" ht="15" hidden="false" customHeight="true" outlineLevel="0" collapsed="false">
      <c r="B16" s="97" t="s">
        <v>3445</v>
      </c>
      <c r="C16" s="98" t="s">
        <v>2771</v>
      </c>
      <c r="D16" s="98" t="s">
        <v>1052</v>
      </c>
      <c r="I16" s="6"/>
    </row>
    <row r="17" customFormat="false" ht="16.5" hidden="false" customHeight="true" outlineLevel="0" collapsed="false">
      <c r="B17" s="113" t="s">
        <v>6591</v>
      </c>
      <c r="C17" s="571" t="n">
        <f aca="false">E7</f>
        <v>348620.4</v>
      </c>
      <c r="D17" s="594" t="n">
        <f aca="false">E7/$E$12</f>
        <v>0.502583699941354</v>
      </c>
      <c r="I17" s="6"/>
    </row>
    <row r="18" customFormat="false" ht="16.5" hidden="false" customHeight="true" outlineLevel="0" collapsed="false">
      <c r="B18" s="113" t="s">
        <v>6592</v>
      </c>
      <c r="C18" s="571" t="n">
        <f aca="false">E8</f>
        <v>50400</v>
      </c>
      <c r="D18" s="594" t="n">
        <f aca="false">E8/$E$12</f>
        <v>0.0726584516483954</v>
      </c>
      <c r="I18" s="6"/>
    </row>
    <row r="19" customFormat="false" ht="16.5" hidden="false" customHeight="true" outlineLevel="0" collapsed="false">
      <c r="B19" s="113" t="s">
        <v>6593</v>
      </c>
      <c r="C19" s="571" t="n">
        <f aca="false">E9</f>
        <v>132300</v>
      </c>
      <c r="D19" s="594" t="n">
        <f aca="false">E9/$E$12</f>
        <v>0.190728435577038</v>
      </c>
      <c r="I19" s="6"/>
    </row>
    <row r="20" customFormat="false" ht="16.5" hidden="false" customHeight="true" outlineLevel="0" collapsed="false">
      <c r="B20" s="113" t="s">
        <v>6594</v>
      </c>
      <c r="C20" s="571" t="n">
        <f aca="false">E10</f>
        <v>42336</v>
      </c>
      <c r="D20" s="594" t="n">
        <f aca="false">E10/$E$12</f>
        <v>0.0610330993846521</v>
      </c>
      <c r="I20" s="6"/>
    </row>
    <row r="21" customFormat="false" ht="15" hidden="false" customHeight="true" outlineLevel="0" collapsed="false">
      <c r="B21" s="113" t="s">
        <v>6340</v>
      </c>
      <c r="C21" s="571" t="n">
        <f aca="false">E11</f>
        <v>120000</v>
      </c>
      <c r="D21" s="594" t="n">
        <f aca="false">E11/$E$12</f>
        <v>0.17299631344856</v>
      </c>
      <c r="I21" s="6"/>
    </row>
    <row r="22" customFormat="false" ht="15" hidden="false" customHeight="true" outlineLevel="0" collapsed="false">
      <c r="B22" s="6"/>
      <c r="I22" s="6"/>
    </row>
    <row r="23" customFormat="false" ht="33.75" hidden="false" customHeight="true" outlineLevel="0" collapsed="false">
      <c r="B23" s="555" t="s">
        <v>6595</v>
      </c>
      <c r="C23" s="555"/>
      <c r="D23" s="555"/>
      <c r="E23" s="555"/>
      <c r="F23" s="555"/>
      <c r="G23" s="555"/>
      <c r="H23" s="555"/>
      <c r="I23" s="6"/>
    </row>
    <row r="24" customFormat="false" ht="15" hidden="false" customHeight="true" outlineLevel="0" collapsed="false">
      <c r="B24" s="1433" t="s">
        <v>6596</v>
      </c>
      <c r="E24" s="1268" t="n">
        <f aca="false">'Esports · Drivers'!C52</f>
        <v>128304</v>
      </c>
      <c r="G24" s="1269" t="s">
        <v>6597</v>
      </c>
      <c r="I24" s="6"/>
    </row>
    <row r="25" customFormat="false" ht="15" hidden="false" customHeight="true" outlineLevel="0" collapsed="false">
      <c r="B25" s="6"/>
      <c r="I25" s="6"/>
    </row>
    <row r="26" customFormat="false" ht="15" hidden="false" customHeight="true" outlineLevel="0" collapsed="false">
      <c r="B26" s="6"/>
      <c r="I26" s="6"/>
    </row>
    <row r="27" customFormat="false" ht="21.75" hidden="false" customHeight="true" outlineLevel="0" collapsed="false">
      <c r="B27" s="575" t="s">
        <v>5888</v>
      </c>
      <c r="C27" s="575"/>
      <c r="D27" s="575"/>
      <c r="E27" s="575"/>
      <c r="F27" s="575"/>
      <c r="G27" s="575"/>
      <c r="H27" s="575"/>
      <c r="I27" s="6"/>
    </row>
    <row r="28" customFormat="false" ht="16.5" hidden="false" customHeight="true" outlineLevel="0" collapsed="false">
      <c r="B28" s="113" t="s">
        <v>6598</v>
      </c>
      <c r="C28" s="1434" t="n">
        <f aca="false">'Esports · Drivers'!C41</f>
        <v>21600</v>
      </c>
      <c r="I28" s="6"/>
    </row>
    <row r="29" customFormat="false" ht="16.5" hidden="false" customHeight="true" outlineLevel="0" collapsed="false">
      <c r="B29" s="113" t="s">
        <v>6599</v>
      </c>
      <c r="C29" s="1434" t="n">
        <f aca="false">'Esports · Drivers'!C42</f>
        <v>7128</v>
      </c>
      <c r="I29" s="6"/>
    </row>
    <row r="30" customFormat="false" ht="16.5" hidden="false" customHeight="true" outlineLevel="0" collapsed="false">
      <c r="B30" s="113" t="s">
        <v>6600</v>
      </c>
      <c r="C30" s="1434" t="n">
        <f aca="false">'Esports · Drivers'!C43</f>
        <v>2800</v>
      </c>
      <c r="I30" s="6"/>
    </row>
    <row r="31" customFormat="false" ht="16.5" hidden="false" customHeight="true" outlineLevel="0" collapsed="false">
      <c r="B31" s="113" t="s">
        <v>6601</v>
      </c>
      <c r="C31" s="1434" t="n">
        <f aca="false">'Esports · Drivers'!C44</f>
        <v>4328</v>
      </c>
      <c r="I31" s="6"/>
    </row>
    <row r="32" customFormat="false" ht="16.5" hidden="false" customHeight="true" outlineLevel="0" collapsed="false">
      <c r="B32" s="113" t="s">
        <v>6602</v>
      </c>
      <c r="C32" s="1435" t="str">
        <f aca="false">'Esports · Drivers'!C45</f>
        <v>✓ Member hours fit in capacity</v>
      </c>
      <c r="I32" s="6"/>
    </row>
  </sheetData>
  <mergeCells count="7">
    <mergeCell ref="B2:F2"/>
    <mergeCell ref="G2:J2"/>
    <mergeCell ref="B3:J3"/>
    <mergeCell ref="B5:H5"/>
    <mergeCell ref="B15:H15"/>
    <mergeCell ref="B23:H23"/>
    <mergeCell ref="B27:H2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6603</v>
      </c>
      <c r="C2" s="878"/>
      <c r="D2" s="878"/>
      <c r="E2" s="878"/>
      <c r="F2" s="878"/>
      <c r="G2" s="1023" t="s">
        <v>3432</v>
      </c>
      <c r="H2" s="1023"/>
      <c r="I2" s="1023"/>
      <c r="J2" s="1023"/>
    </row>
    <row r="3" customFormat="false" ht="33.75" hidden="false" customHeight="true" outlineLevel="0" collapsed="false">
      <c r="B3" s="90" t="s">
        <v>6604</v>
      </c>
      <c r="C3" s="90"/>
      <c r="D3" s="90"/>
      <c r="E3" s="90"/>
      <c r="F3" s="90"/>
      <c r="G3" s="90"/>
      <c r="H3" s="90"/>
      <c r="I3" s="90"/>
      <c r="J3" s="90"/>
    </row>
    <row r="4" customFormat="false" ht="15" hidden="false" customHeight="true" outlineLevel="0" collapsed="false">
      <c r="B4" s="6"/>
      <c r="G4" s="6"/>
    </row>
    <row r="5" customFormat="false" ht="21.75" hidden="false" customHeight="true" outlineLevel="0" collapsed="false">
      <c r="B5" s="96" t="s">
        <v>4928</v>
      </c>
      <c r="C5" s="96"/>
      <c r="D5" s="96"/>
      <c r="E5" s="96"/>
      <c r="F5" s="96"/>
      <c r="G5" s="96"/>
      <c r="H5" s="96"/>
    </row>
    <row r="6" customFormat="false" ht="19.5" hidden="false" customHeight="true" outlineLevel="0" collapsed="false">
      <c r="B6" s="99" t="s">
        <v>4929</v>
      </c>
      <c r="C6" s="98" t="s">
        <v>2771</v>
      </c>
      <c r="D6" s="98" t="s">
        <v>4930</v>
      </c>
      <c r="E6" s="98" t="s">
        <v>6605</v>
      </c>
      <c r="F6" s="98" t="s">
        <v>4016</v>
      </c>
      <c r="G6" s="99" t="s">
        <v>4932</v>
      </c>
      <c r="H6" s="98" t="s">
        <v>778</v>
      </c>
    </row>
    <row r="7" customFormat="false" ht="16.5" hidden="false" customHeight="true" outlineLevel="0" collapsed="false">
      <c r="B7" s="113" t="s">
        <v>6606</v>
      </c>
      <c r="C7" s="1277" t="n">
        <f aca="false">'Esports · Drivers'!C57</f>
        <v>24000</v>
      </c>
      <c r="D7" s="593" t="n">
        <f aca="false">C7/'Esports · Revenue'!E12</f>
        <v>0.0345992626897121</v>
      </c>
      <c r="E7" s="1271" t="n">
        <f aca="false">C7/IF('Esports · Drivers'!C42*12=0,1,'Esports · Drivers'!C42*12)</f>
        <v>0.280583613916947</v>
      </c>
      <c r="F7" s="455" t="s">
        <v>3663</v>
      </c>
      <c r="G7" s="1279" t="n">
        <v>0</v>
      </c>
      <c r="H7" s="565" t="s">
        <v>5896</v>
      </c>
    </row>
    <row r="8" customFormat="false" ht="16.5" hidden="false" customHeight="true" outlineLevel="0" collapsed="false">
      <c r="B8" s="113" t="s">
        <v>6607</v>
      </c>
      <c r="C8" s="1277" t="n">
        <f aca="false">'Esports · Drivers'!C58</f>
        <v>30600</v>
      </c>
      <c r="D8" s="593" t="n">
        <f aca="false">C8/'Esports · Revenue'!E12</f>
        <v>0.0441140599293829</v>
      </c>
      <c r="E8" s="1271" t="n">
        <f aca="false">C8/IF('Esports · Drivers'!C42*12=0,1,'Esports · Drivers'!C42*12)</f>
        <v>0.357744107744108</v>
      </c>
      <c r="F8" s="455" t="s">
        <v>3663</v>
      </c>
      <c r="G8" s="1279" t="n">
        <v>0</v>
      </c>
      <c r="H8" s="565" t="s">
        <v>6608</v>
      </c>
    </row>
    <row r="9" customFormat="false" ht="16.5" hidden="false" customHeight="true" outlineLevel="0" collapsed="false">
      <c r="B9" s="113" t="s">
        <v>4944</v>
      </c>
      <c r="C9" s="1277" t="n">
        <v>0</v>
      </c>
      <c r="D9" s="593" t="n">
        <f aca="false">C9/'Esports · Revenue'!E12</f>
        <v>0</v>
      </c>
      <c r="E9" s="1271" t="n">
        <f aca="false">C9/IF('Esports · Drivers'!C42*12=0,1,'Esports · Drivers'!C42*12)</f>
        <v>0</v>
      </c>
      <c r="F9" s="455" t="s">
        <v>3663</v>
      </c>
      <c r="G9" s="1279" t="n">
        <v>0</v>
      </c>
      <c r="H9" s="565" t="s">
        <v>6609</v>
      </c>
    </row>
    <row r="10" customFormat="false" ht="16.5" hidden="false" customHeight="true" outlineLevel="0" collapsed="false">
      <c r="B10" s="113" t="s">
        <v>6544</v>
      </c>
      <c r="C10" s="1277" t="n">
        <v>0</v>
      </c>
      <c r="D10" s="593" t="n">
        <f aca="false">C10/'Esports · Revenue'!E12</f>
        <v>0</v>
      </c>
      <c r="E10" s="1271" t="n">
        <f aca="false">C10/IF('Esports · Drivers'!C42*12=0,1,'Esports · Drivers'!C42*12)</f>
        <v>0</v>
      </c>
      <c r="F10" s="455" t="s">
        <v>3663</v>
      </c>
      <c r="G10" s="1279" t="n">
        <v>0</v>
      </c>
      <c r="H10" s="565" t="s">
        <v>6610</v>
      </c>
    </row>
    <row r="11" customFormat="false" ht="16.5" hidden="false" customHeight="true" outlineLevel="0" collapsed="false">
      <c r="B11" s="113" t="s">
        <v>6547</v>
      </c>
      <c r="C11" s="1277" t="n">
        <f aca="false">'Esports · Drivers'!C61</f>
        <v>9600</v>
      </c>
      <c r="D11" s="593" t="n">
        <f aca="false">C11/'Esports · Revenue'!E12</f>
        <v>0.0138397050758848</v>
      </c>
      <c r="E11" s="1271" t="n">
        <f aca="false">C11/IF('Esports · Drivers'!C42*12=0,1,'Esports · Drivers'!C42*12)</f>
        <v>0.112233445566779</v>
      </c>
      <c r="F11" s="455" t="s">
        <v>3663</v>
      </c>
      <c r="G11" s="1279" t="n">
        <v>0</v>
      </c>
      <c r="H11" s="565" t="s">
        <v>6611</v>
      </c>
    </row>
    <row r="12" customFormat="false" ht="16.5" hidden="false" customHeight="true" outlineLevel="0" collapsed="false">
      <c r="B12" s="113" t="s">
        <v>6612</v>
      </c>
      <c r="C12" s="1277" t="n">
        <f aca="false">'Esports · Drivers'!C62</f>
        <v>3600</v>
      </c>
      <c r="D12" s="593" t="n">
        <f aca="false">C12/'Esports · Revenue'!E12</f>
        <v>0.00518988940345681</v>
      </c>
      <c r="E12" s="1271" t="n">
        <f aca="false">C12/IF('Esports · Drivers'!C42*12=0,1,'Esports · Drivers'!C42*12)</f>
        <v>0.0420875420875421</v>
      </c>
      <c r="F12" s="455" t="s">
        <v>3663</v>
      </c>
      <c r="G12" s="1279" t="n">
        <v>0</v>
      </c>
      <c r="H12" s="565" t="s">
        <v>6423</v>
      </c>
    </row>
    <row r="13" customFormat="false" ht="16.5" hidden="false" customHeight="true" outlineLevel="0" collapsed="false">
      <c r="B13" s="113" t="s">
        <v>6613</v>
      </c>
      <c r="C13" s="1277" t="n">
        <f aca="false">'Esports · Drivers'!C67</f>
        <v>35000</v>
      </c>
      <c r="D13" s="593" t="n">
        <f aca="false">C13/'Esports · Revenue'!E12</f>
        <v>0.0504572580891635</v>
      </c>
      <c r="E13" s="1271" t="n">
        <f aca="false">C13/IF('Esports · Drivers'!C42*12=0,1,'Esports · Drivers'!C42*12)</f>
        <v>0.409184436962215</v>
      </c>
      <c r="F13" s="455" t="s">
        <v>3663</v>
      </c>
      <c r="G13" s="1279" t="n">
        <v>0</v>
      </c>
      <c r="H13" s="565" t="s">
        <v>6614</v>
      </c>
    </row>
    <row r="14" customFormat="false" ht="15" hidden="false" customHeight="true" outlineLevel="0" collapsed="false">
      <c r="B14" s="6"/>
      <c r="G14" s="6"/>
    </row>
    <row r="15" customFormat="false" ht="16.5" hidden="false" customHeight="true" outlineLevel="0" collapsed="false">
      <c r="B15" s="113" t="s">
        <v>6615</v>
      </c>
      <c r="C15" s="1277" t="n">
        <v>0</v>
      </c>
      <c r="D15" s="593" t="n">
        <f aca="false">C15/'Esports · Revenue'!E12</f>
        <v>0</v>
      </c>
      <c r="E15" s="1271" t="n">
        <f aca="false">C15/IF('Esports · Drivers'!C42*12=0,1,'Esports · Drivers'!C42*12)</f>
        <v>0</v>
      </c>
      <c r="F15" s="821" t="s">
        <v>4027</v>
      </c>
      <c r="G15" s="1279" t="n">
        <v>1</v>
      </c>
      <c r="H15" s="565" t="s">
        <v>6616</v>
      </c>
    </row>
    <row r="16" customFormat="false" ht="16.5" hidden="false" customHeight="true" outlineLevel="0" collapsed="false">
      <c r="B16" s="113" t="s">
        <v>6617</v>
      </c>
      <c r="C16" s="1277" t="n">
        <v>0</v>
      </c>
      <c r="D16" s="593" t="n">
        <f aca="false">C16/'Esports · Revenue'!E12</f>
        <v>0</v>
      </c>
      <c r="E16" s="1271" t="n">
        <f aca="false">C16/IF('Esports · Drivers'!C42*12=0,1,'Esports · Drivers'!C42*12)</f>
        <v>0</v>
      </c>
      <c r="F16" s="821" t="s">
        <v>4027</v>
      </c>
      <c r="G16" s="1279" t="n">
        <v>1</v>
      </c>
      <c r="H16" s="565" t="s">
        <v>6618</v>
      </c>
    </row>
    <row r="17" customFormat="false" ht="15" hidden="false" customHeight="true" outlineLevel="0" collapsed="false">
      <c r="B17" s="6"/>
      <c r="G17" s="6"/>
    </row>
    <row r="18" customFormat="false" ht="16.5" hidden="false" customHeight="true" outlineLevel="0" collapsed="false">
      <c r="B18" s="113" t="s">
        <v>6619</v>
      </c>
      <c r="C18" s="1277" t="n">
        <f aca="false">'Esports · Drivers'!C74*'Esports · Drivers'!C42*12</f>
        <v>12830.4</v>
      </c>
      <c r="D18" s="593" t="n">
        <f aca="false">C18/'Esports · Revenue'!E12</f>
        <v>0.0184967658339201</v>
      </c>
      <c r="E18" s="1271" t="n">
        <f aca="false">C18/IF('Esports · Drivers'!C42*12=0,1,'Esports · Drivers'!C42*12)</f>
        <v>0.15</v>
      </c>
      <c r="F18" s="820" t="s">
        <v>4029</v>
      </c>
      <c r="G18" s="1279" t="n">
        <v>0.7</v>
      </c>
      <c r="H18" s="565" t="s">
        <v>6620</v>
      </c>
    </row>
    <row r="19" customFormat="false" ht="15" hidden="false" customHeight="true" outlineLevel="0" collapsed="false">
      <c r="B19" s="6"/>
      <c r="G19" s="6"/>
    </row>
    <row r="20" customFormat="false" ht="16.5" hidden="false" customHeight="true" outlineLevel="0" collapsed="false">
      <c r="B20" s="113" t="s">
        <v>6621</v>
      </c>
      <c r="C20" s="1277" t="n">
        <f aca="false">'Esports · Revenue'!E10*'Esports · Drivers'!C77</f>
        <v>21168</v>
      </c>
      <c r="D20" s="593" t="n">
        <f aca="false">C20/'Esports · Revenue'!E12</f>
        <v>0.0305165496923261</v>
      </c>
      <c r="E20" s="1271" t="n">
        <f aca="false">C20/IF('Esports · Drivers'!C42*12=0,1,'Esports · Drivers'!C42*12)</f>
        <v>0.247474747474748</v>
      </c>
      <c r="F20" s="821" t="s">
        <v>4027</v>
      </c>
      <c r="G20" s="1279" t="n">
        <v>1</v>
      </c>
      <c r="H20" s="565" t="s">
        <v>6622</v>
      </c>
    </row>
    <row r="21" customFormat="false" ht="16.5" hidden="false" customHeight="true" outlineLevel="0" collapsed="false">
      <c r="B21" s="113" t="s">
        <v>6623</v>
      </c>
      <c r="C21" s="1277" t="n">
        <f aca="false">'Esports · Drivers'!C78*'Esports · Drivers'!C35*12</f>
        <v>14400</v>
      </c>
      <c r="D21" s="593" t="n">
        <f aca="false">C21/'Esports · Revenue'!E12</f>
        <v>0.0207595576138272</v>
      </c>
      <c r="E21" s="1271" t="n">
        <f aca="false">C21/IF('Esports · Drivers'!C42*12=0,1,'Esports · Drivers'!C42*12)</f>
        <v>0.168350168350168</v>
      </c>
      <c r="F21" s="821" t="s">
        <v>4027</v>
      </c>
      <c r="G21" s="1279" t="n">
        <v>1</v>
      </c>
      <c r="H21" s="565" t="s">
        <v>6624</v>
      </c>
    </row>
    <row r="22" customFormat="false" ht="16.5" hidden="false" customHeight="true" outlineLevel="0" collapsed="false">
      <c r="B22" s="126" t="s">
        <v>6625</v>
      </c>
      <c r="C22" s="1277" t="n">
        <f aca="false">'Esports · Drivers'!C103</f>
        <v>64800</v>
      </c>
      <c r="D22" s="593" t="n">
        <f aca="false">C22/'Esports · Revenue'!E12</f>
        <v>0.0934180092622226</v>
      </c>
      <c r="E22" s="1271" t="n">
        <f aca="false">C22/IF('Esports · Drivers'!C42=0,1,'Esports · Drivers'!C42*12)</f>
        <v>0.757575757575758</v>
      </c>
      <c r="F22" s="821" t="s">
        <v>4027</v>
      </c>
      <c r="G22" s="1279" t="n">
        <v>1</v>
      </c>
      <c r="H22" s="565" t="s">
        <v>6626</v>
      </c>
    </row>
    <row r="23" customFormat="false" ht="24" hidden="false" customHeight="true" outlineLevel="0" collapsed="false">
      <c r="B23" s="117" t="s">
        <v>4953</v>
      </c>
      <c r="C23" s="1436" t="n">
        <f aca="false">SUM(C7:C22)</f>
        <v>215998.4</v>
      </c>
      <c r="D23" s="1166" t="n">
        <f aca="false">C23/'Esports · Revenue'!E12</f>
        <v>0.311391057589896</v>
      </c>
      <c r="G23" s="6"/>
    </row>
    <row r="24" customFormat="false" ht="15" hidden="false" customHeight="true" outlineLevel="0" collapsed="false">
      <c r="B24" s="6"/>
      <c r="G24" s="6"/>
    </row>
    <row r="25" customFormat="false" ht="33.75" hidden="false" customHeight="true" outlineLevel="0" collapsed="false">
      <c r="B25" s="96" t="s">
        <v>5922</v>
      </c>
      <c r="C25" s="96"/>
      <c r="D25" s="96"/>
      <c r="E25" s="96"/>
      <c r="F25" s="96"/>
      <c r="G25" s="96"/>
      <c r="H25" s="96"/>
    </row>
    <row r="26" customFormat="false" ht="15" hidden="false" customHeight="true" outlineLevel="0" collapsed="false">
      <c r="B26" s="81" t="s">
        <v>4957</v>
      </c>
      <c r="C26" s="406" t="n">
        <f aca="false">SUMPRODUCT(C7:C22,1-G7:G22)</f>
        <v>106649.12</v>
      </c>
      <c r="D26" s="1370" t="n">
        <f aca="false">C26/C23</f>
        <v>0.493749583330247</v>
      </c>
      <c r="G26" s="6"/>
    </row>
    <row r="27" customFormat="false" ht="15" hidden="false" customHeight="true" outlineLevel="0" collapsed="false">
      <c r="B27" s="663" t="s">
        <v>4958</v>
      </c>
      <c r="C27" s="1371" t="n">
        <f aca="false">SUMPRODUCT(C7:C22,G7:G22)</f>
        <v>109349.28</v>
      </c>
      <c r="D27" s="1370" t="n">
        <f aca="false">C27/C23</f>
        <v>0.506250416669753</v>
      </c>
      <c r="G27" s="6"/>
    </row>
    <row r="28" customFormat="false" ht="15" hidden="false" customHeight="true" outlineLevel="0" collapsed="false">
      <c r="B28" s="6"/>
      <c r="G28" s="6"/>
    </row>
    <row r="29" customFormat="false" ht="15" hidden="false" customHeight="true" outlineLevel="0" collapsed="false">
      <c r="B29" s="1076" t="s">
        <v>4959</v>
      </c>
      <c r="C29" s="1284" t="n">
        <f aca="false">C27/'Esports · Revenue'!E12</f>
        <v>0.15764185265212</v>
      </c>
      <c r="G29" s="6"/>
    </row>
    <row r="30" customFormat="false" ht="15" hidden="false" customHeight="true" outlineLevel="0" collapsed="false">
      <c r="B30" s="6"/>
      <c r="G30" s="6"/>
    </row>
    <row r="31" customFormat="false" ht="15" hidden="false" customHeight="true" outlineLevel="0" collapsed="false">
      <c r="B31" s="592" t="s">
        <v>4961</v>
      </c>
      <c r="C31" s="1437" t="str">
        <f aca="false">IF(ABS((C26+C27)-C23)&lt;1,"✓ Reconciles","✗ Diff: "&amp;TEXT((C26+C27)-C23,"$#,##0"))</f>
        <v>✓ Reconciles</v>
      </c>
      <c r="G31" s="6"/>
    </row>
    <row r="32" customFormat="false" ht="15" hidden="false" customHeight="true" outlineLevel="0" collapsed="false">
      <c r="B32" s="6"/>
      <c r="G32" s="6"/>
    </row>
    <row r="33" customFormat="false" ht="21.75" hidden="false" customHeight="true" outlineLevel="0" collapsed="false">
      <c r="B33" s="72" t="s">
        <v>4069</v>
      </c>
      <c r="C33" s="72"/>
      <c r="D33" s="72"/>
      <c r="E33" s="72"/>
      <c r="F33" s="72"/>
      <c r="G33" s="72"/>
      <c r="H33" s="72"/>
    </row>
    <row r="34" customFormat="false" ht="15" hidden="false" customHeight="true" outlineLevel="0" collapsed="false">
      <c r="B34" s="6" t="s">
        <v>4962</v>
      </c>
      <c r="C34" s="1374" t="n">
        <f aca="false">'Esports · Revenue'!E12</f>
        <v>693656.4</v>
      </c>
      <c r="G34" s="6"/>
    </row>
    <row r="35" customFormat="false" ht="15" hidden="false" customHeight="true" outlineLevel="0" collapsed="false">
      <c r="B35" s="6" t="s">
        <v>4963</v>
      </c>
      <c r="C35" s="1375" t="n">
        <f aca="false">-C23</f>
        <v>-215998.4</v>
      </c>
      <c r="G35" s="6"/>
    </row>
    <row r="36" customFormat="false" ht="17.25" hidden="false" customHeight="true" outlineLevel="0" collapsed="false">
      <c r="B36" s="1376" t="s">
        <v>4964</v>
      </c>
      <c r="C36" s="1377" t="n">
        <f aca="false">C34+C35</f>
        <v>477658</v>
      </c>
      <c r="G36" s="6"/>
    </row>
    <row r="37" customFormat="false" ht="15" hidden="false" customHeight="true" outlineLevel="0" collapsed="false">
      <c r="B37" s="592" t="s">
        <v>4965</v>
      </c>
      <c r="C37" s="1156" t="n">
        <f aca="false">C36/C34</f>
        <v>0.688608942410104</v>
      </c>
      <c r="G37" s="6"/>
    </row>
  </sheetData>
  <mergeCells count="6">
    <mergeCell ref="B2:F2"/>
    <mergeCell ref="G2:J2"/>
    <mergeCell ref="B3:J3"/>
    <mergeCell ref="B5:H5"/>
    <mergeCell ref="B25:H25"/>
    <mergeCell ref="B33:H3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K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6627</v>
      </c>
      <c r="C2" s="88"/>
      <c r="D2" s="88"/>
      <c r="E2" s="88"/>
      <c r="F2" s="88"/>
      <c r="G2" s="88"/>
      <c r="H2" s="89" t="s">
        <v>995</v>
      </c>
      <c r="I2" s="89"/>
      <c r="J2" s="89"/>
      <c r="K2" s="89"/>
    </row>
    <row r="3" customFormat="false" ht="33.75" hidden="false" customHeight="true" outlineLevel="0" collapsed="false">
      <c r="B3" s="90" t="s">
        <v>5924</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206</v>
      </c>
      <c r="C5" s="98" t="s">
        <v>760</v>
      </c>
      <c r="D5" s="98" t="s">
        <v>908</v>
      </c>
      <c r="E5" s="98" t="s">
        <v>765</v>
      </c>
      <c r="F5" s="98" t="s">
        <v>770</v>
      </c>
      <c r="G5" s="98" t="s">
        <v>909</v>
      </c>
      <c r="H5" s="98" t="s">
        <v>910</v>
      </c>
      <c r="I5" s="98" t="s">
        <v>911</v>
      </c>
      <c r="J5" s="98" t="s">
        <v>912</v>
      </c>
      <c r="K5" s="99" t="s">
        <v>875</v>
      </c>
    </row>
    <row r="6" customFormat="false" ht="15" hidden="false" customHeight="true" outlineLevel="0" collapsed="false">
      <c r="B6" s="592" t="s">
        <v>4059</v>
      </c>
      <c r="C6" s="1378" t="n">
        <v>0.8</v>
      </c>
      <c r="D6" s="1378" t="n">
        <v>0.9</v>
      </c>
      <c r="E6" s="1378" t="n">
        <v>1</v>
      </c>
      <c r="F6" s="1378" t="n">
        <v>1</v>
      </c>
      <c r="G6" s="1378" t="n">
        <v>1</v>
      </c>
      <c r="H6" s="1378" t="n">
        <v>1.05</v>
      </c>
      <c r="I6" s="1378" t="n">
        <v>1.05</v>
      </c>
      <c r="J6" s="1378" t="n">
        <v>1.05</v>
      </c>
      <c r="K6" s="6"/>
    </row>
    <row r="7" customFormat="false" ht="15" hidden="false" customHeight="true" outlineLevel="0" collapsed="false">
      <c r="B7" s="592" t="s">
        <v>5925</v>
      </c>
      <c r="C7" s="1379" t="n">
        <f aca="false">(1+0.03)^0</f>
        <v>1</v>
      </c>
      <c r="D7" s="1379" t="n">
        <f aca="false">(1+0.03)^1</f>
        <v>1.03</v>
      </c>
      <c r="E7" s="1379" t="n">
        <f aca="false">(1+0.03)^2</f>
        <v>1.0609</v>
      </c>
      <c r="F7" s="1379" t="n">
        <f aca="false">(1+0.03)^3</f>
        <v>1.092727</v>
      </c>
      <c r="G7" s="1379" t="n">
        <f aca="false">(1+0.03)^4</f>
        <v>1.12550881</v>
      </c>
      <c r="H7" s="1379" t="n">
        <f aca="false">(1+0.03)^5</f>
        <v>1.1592740743</v>
      </c>
      <c r="I7" s="1379" t="n">
        <f aca="false">(1+0.03)^6</f>
        <v>1.194052296529</v>
      </c>
      <c r="J7" s="1379" t="n">
        <f aca="false">(1+0.03)^7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380" t="s">
        <v>4062</v>
      </c>
      <c r="C10" s="720" t="n">
        <f aca="false">'Esports · Revenue'!E12</f>
        <v>693656.4</v>
      </c>
      <c r="D10" s="720" t="n">
        <f aca="false">'Esports · Revenue'!E12</f>
        <v>693656.4</v>
      </c>
      <c r="E10" s="720" t="n">
        <f aca="false">'Esports · Revenue'!E12</f>
        <v>693656.4</v>
      </c>
      <c r="F10" s="720" t="n">
        <f aca="false">'Esports · Revenue'!E12</f>
        <v>693656.4</v>
      </c>
      <c r="G10" s="720" t="n">
        <f aca="false">'Esports · Revenue'!E12</f>
        <v>693656.4</v>
      </c>
      <c r="H10" s="720" t="n">
        <f aca="false">'Esports · Revenue'!E12</f>
        <v>693656.4</v>
      </c>
      <c r="I10" s="720" t="n">
        <f aca="false">'Esports · Revenue'!E12</f>
        <v>693656.4</v>
      </c>
      <c r="J10" s="720" t="n">
        <f aca="false">'Esports · Revenue'!E12</f>
        <v>693656.4</v>
      </c>
      <c r="K10" s="6"/>
    </row>
    <row r="11" customFormat="false" ht="15" hidden="false" customHeight="true" outlineLevel="0" collapsed="false">
      <c r="B11" s="81" t="s">
        <v>4063</v>
      </c>
      <c r="C11" s="544" t="n">
        <f aca="false">'Esports · Revenue'!E12*C6*C7</f>
        <v>554925.12</v>
      </c>
      <c r="D11" s="544" t="n">
        <f aca="false">'Esports · Revenue'!E12*D6*D7</f>
        <v>643019.4828</v>
      </c>
      <c r="E11" s="544" t="n">
        <f aca="false">'Esports · Revenue'!E12*E6*E7</f>
        <v>735900.07476</v>
      </c>
      <c r="F11" s="544" t="n">
        <f aca="false">'Esports · Revenue'!E12*F6*F7</f>
        <v>757977.0770028</v>
      </c>
      <c r="G11" s="544" t="n">
        <f aca="false">'Esports · Revenue'!E12*G6*G7</f>
        <v>780716.389312884</v>
      </c>
      <c r="H11" s="544" t="n">
        <f aca="false">'Esports · Revenue'!E12*H6*H7</f>
        <v>844344.775041884</v>
      </c>
      <c r="I11" s="544" t="n">
        <f aca="false">'Esports · Revenue'!E12*I6*I7</f>
        <v>869675.118293141</v>
      </c>
      <c r="J11" s="544" t="n">
        <f aca="false">'Esports · Revenue'!E12*J6*J7</f>
        <v>895765.371841935</v>
      </c>
      <c r="K11" s="1381" t="n">
        <f aca="false">SUM(C11:J11)</f>
        <v>6082323.40905265</v>
      </c>
    </row>
    <row r="12" customFormat="false" ht="15" hidden="false" customHeight="true" outlineLevel="0" collapsed="false">
      <c r="B12" s="1382" t="s">
        <v>4064</v>
      </c>
      <c r="D12" s="593" t="n">
        <f aca="false">D11/C11-1</f>
        <v>0.15875</v>
      </c>
      <c r="E12" s="593" t="n">
        <f aca="false">E11/D11-1</f>
        <v>0.144444444444444</v>
      </c>
      <c r="F12" s="593" t="n">
        <f aca="false">F11/E11-1</f>
        <v>0.03</v>
      </c>
      <c r="G12" s="593" t="n">
        <f aca="false">G11/F11-1</f>
        <v>0.03</v>
      </c>
      <c r="H12" s="593" t="n">
        <f aca="false">H11/G11-1</f>
        <v>0.0815000000000001</v>
      </c>
      <c r="I12" s="593" t="n">
        <f aca="false">I11/H11-1</f>
        <v>0.03</v>
      </c>
      <c r="J12" s="593"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4066</v>
      </c>
      <c r="C15" s="360" t="n">
        <f aca="false">'Esports · Costs'!C26*C7</f>
        <v>106649.12</v>
      </c>
      <c r="D15" s="360" t="n">
        <f aca="false">'Esports · Costs'!C26*D7</f>
        <v>109848.5936</v>
      </c>
      <c r="E15" s="360" t="n">
        <f aca="false">'Esports · Costs'!C26*E7</f>
        <v>113144.051408</v>
      </c>
      <c r="F15" s="360" t="n">
        <f aca="false">'Esports · Costs'!C26*F7</f>
        <v>116538.37295024</v>
      </c>
      <c r="G15" s="360" t="n">
        <f aca="false">'Esports · Costs'!C26*G7</f>
        <v>120034.524138747</v>
      </c>
      <c r="H15" s="360" t="n">
        <f aca="false">'Esports · Costs'!C26*H7</f>
        <v>123635.55986291</v>
      </c>
      <c r="I15" s="360" t="n">
        <f aca="false">'Esports · Costs'!C26*I7</f>
        <v>127344.626658797</v>
      </c>
      <c r="J15" s="360" t="n">
        <f aca="false">'Esports · Costs'!C26*J7</f>
        <v>131164.965458561</v>
      </c>
      <c r="K15" s="6"/>
    </row>
    <row r="16" customFormat="false" ht="15" hidden="false" customHeight="true" outlineLevel="0" collapsed="false">
      <c r="B16" s="126" t="s">
        <v>4067</v>
      </c>
      <c r="C16" s="360" t="n">
        <f aca="false">'Esports · Costs'!C27*C6*C7</f>
        <v>87479.424</v>
      </c>
      <c r="D16" s="360" t="n">
        <f aca="false">'Esports · Costs'!C27*D6*D7</f>
        <v>101366.78256</v>
      </c>
      <c r="E16" s="360" t="n">
        <f aca="false">'Esports · Costs'!C27*E6*E7</f>
        <v>116008.651152</v>
      </c>
      <c r="F16" s="360" t="n">
        <f aca="false">'Esports · Costs'!C27*F6*F7</f>
        <v>119488.91068656</v>
      </c>
      <c r="G16" s="360" t="n">
        <f aca="false">'Esports · Costs'!C27*G6*G7</f>
        <v>123073.578007157</v>
      </c>
      <c r="H16" s="360" t="n">
        <f aca="false">'Esports · Costs'!C27*H6*H7</f>
        <v>133104.07461474</v>
      </c>
      <c r="I16" s="360" t="n">
        <f aca="false">'Esports · Costs'!C27*I6*I7</f>
        <v>137097.196853182</v>
      </c>
      <c r="J16" s="360" t="n">
        <f aca="false">'Esports · Costs'!C27*J6*J7</f>
        <v>141210.112758778</v>
      </c>
      <c r="K16" s="6"/>
    </row>
    <row r="17" customFormat="false" ht="15" hidden="false" customHeight="true" outlineLevel="0" collapsed="false">
      <c r="B17" s="81" t="s">
        <v>4068</v>
      </c>
      <c r="C17" s="599" t="n">
        <f aca="false">C15+C16</f>
        <v>194128.544</v>
      </c>
      <c r="D17" s="599" t="n">
        <f aca="false">D15+D16</f>
        <v>211215.37616</v>
      </c>
      <c r="E17" s="599" t="n">
        <f aca="false">E15+E16</f>
        <v>229152.70256</v>
      </c>
      <c r="F17" s="599" t="n">
        <f aca="false">F15+F16</f>
        <v>236027.2836368</v>
      </c>
      <c r="G17" s="599" t="n">
        <f aca="false">G15+G16</f>
        <v>243108.102145904</v>
      </c>
      <c r="H17" s="599" t="n">
        <f aca="false">H15+H16</f>
        <v>256739.63447765</v>
      </c>
      <c r="I17" s="599" t="n">
        <f aca="false">I15+I16</f>
        <v>264441.823511979</v>
      </c>
      <c r="J17" s="599" t="n">
        <f aca="false">J15+J16</f>
        <v>272375.078217339</v>
      </c>
      <c r="K17" s="1381" t="n">
        <f aca="false">SUM(C17:J17)</f>
        <v>1907188.54470967</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15" hidden="false" customHeight="true" outlineLevel="0" collapsed="false">
      <c r="B20" s="81" t="s">
        <v>3437</v>
      </c>
      <c r="C20" s="577" t="n">
        <f aca="false">C11-C17</f>
        <v>360796.576</v>
      </c>
      <c r="D20" s="577" t="n">
        <f aca="false">D11-D17</f>
        <v>431804.10664</v>
      </c>
      <c r="E20" s="577" t="n">
        <f aca="false">E11-E17</f>
        <v>506747.3722</v>
      </c>
      <c r="F20" s="577" t="n">
        <f aca="false">F11-F17</f>
        <v>521949.793366</v>
      </c>
      <c r="G20" s="577" t="n">
        <f aca="false">G11-G17</f>
        <v>537608.28716698</v>
      </c>
      <c r="H20" s="577" t="n">
        <f aca="false">H11-H17</f>
        <v>587605.140564235</v>
      </c>
      <c r="I20" s="577" t="n">
        <f aca="false">I11-I17</f>
        <v>605233.294781162</v>
      </c>
      <c r="J20" s="577" t="n">
        <f aca="false">J11-J17</f>
        <v>623390.293624596</v>
      </c>
      <c r="K20" s="1383" t="n">
        <f aca="false">SUM(C20:J20)</f>
        <v>4175134.86434297</v>
      </c>
    </row>
    <row r="21" customFormat="false" ht="15" hidden="false" customHeight="true" outlineLevel="0" collapsed="false">
      <c r="B21" s="1382" t="s">
        <v>4387</v>
      </c>
      <c r="C21" s="593" t="n">
        <f aca="false">C20/C11</f>
        <v>0.65017164117566</v>
      </c>
      <c r="D21" s="593" t="n">
        <f aca="false">D20/D11</f>
        <v>0.671525697417018</v>
      </c>
      <c r="E21" s="593" t="n">
        <f aca="false">E20/E11</f>
        <v>0.688608942410104</v>
      </c>
      <c r="F21" s="593" t="n">
        <f aca="false">F20/F11</f>
        <v>0.688608942410104</v>
      </c>
      <c r="G21" s="593" t="n">
        <f aca="false">G20/G11</f>
        <v>0.688608942410104</v>
      </c>
      <c r="H21" s="593" t="n">
        <f aca="false">H20/H11</f>
        <v>0.695930333121427</v>
      </c>
      <c r="I21" s="593" t="n">
        <f aca="false">I20/I11</f>
        <v>0.695930333121427</v>
      </c>
      <c r="J21" s="593" t="n">
        <f aca="false">J20/J11</f>
        <v>0.695930333121427</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1164" t="s">
        <v>4072</v>
      </c>
      <c r="C24" s="387" t="n">
        <f aca="false">C11</f>
        <v>554925.12</v>
      </c>
      <c r="D24" s="387" t="n">
        <f aca="false">C24+D11</f>
        <v>1197944.6028</v>
      </c>
      <c r="E24" s="387" t="n">
        <f aca="false">D24+E11</f>
        <v>1933844.67756</v>
      </c>
      <c r="F24" s="387" t="n">
        <f aca="false">E24+F11</f>
        <v>2691821.7545628</v>
      </c>
      <c r="G24" s="387" t="n">
        <f aca="false">F24+G11</f>
        <v>3472538.14387568</v>
      </c>
      <c r="H24" s="387" t="n">
        <f aca="false">G24+H11</f>
        <v>4316882.91891757</v>
      </c>
      <c r="I24" s="387" t="n">
        <f aca="false">H24+I11</f>
        <v>5186558.03721071</v>
      </c>
      <c r="J24" s="387" t="n">
        <f aca="false">I24+J11</f>
        <v>6082323.40905264</v>
      </c>
      <c r="K24" s="6"/>
    </row>
    <row r="25" customFormat="false" ht="15" hidden="false" customHeight="true" outlineLevel="0" collapsed="false">
      <c r="B25" s="1164" t="s">
        <v>4073</v>
      </c>
      <c r="C25" s="387" t="n">
        <f aca="false">C20</f>
        <v>360796.576</v>
      </c>
      <c r="D25" s="387" t="n">
        <f aca="false">C25+D20</f>
        <v>792600.68264</v>
      </c>
      <c r="E25" s="387" t="n">
        <f aca="false">D25+E20</f>
        <v>1299348.05484</v>
      </c>
      <c r="F25" s="387" t="n">
        <f aca="false">E25+F20</f>
        <v>1821297.848206</v>
      </c>
      <c r="G25" s="387" t="n">
        <f aca="false">F25+G20</f>
        <v>2358906.13537298</v>
      </c>
      <c r="H25" s="387" t="n">
        <f aca="false">G25+H20</f>
        <v>2946511.27593721</v>
      </c>
      <c r="I25" s="387" t="n">
        <f aca="false">H25+I20</f>
        <v>3551744.57071838</v>
      </c>
      <c r="J25" s="387" t="n">
        <f aca="false">I25+J20</f>
        <v>4175134.86434297</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125" t="s">
        <v>5926</v>
      </c>
      <c r="C28" s="125"/>
      <c r="D28" s="125"/>
      <c r="E28" s="125"/>
      <c r="F28" s="125"/>
      <c r="G28" s="125"/>
      <c r="H28" s="125"/>
      <c r="I28" s="125"/>
      <c r="J28" s="125"/>
      <c r="K28" s="125"/>
    </row>
    <row r="29" customFormat="false" ht="21.75" hidden="false" customHeight="true" outlineLevel="0" collapsed="false">
      <c r="B29" s="97" t="s">
        <v>206</v>
      </c>
      <c r="C29" s="98" t="s">
        <v>393</v>
      </c>
      <c r="D29" s="98" t="s">
        <v>778</v>
      </c>
      <c r="K29" s="6"/>
    </row>
    <row r="30" customFormat="false" ht="15" hidden="false" customHeight="true" outlineLevel="0" collapsed="false">
      <c r="B30" s="113" t="s">
        <v>4075</v>
      </c>
      <c r="C30" s="544" t="n">
        <f aca="false">C11</f>
        <v>554925.12</v>
      </c>
      <c r="D30" s="634" t="s">
        <v>5927</v>
      </c>
      <c r="K30" s="6"/>
    </row>
    <row r="31" customFormat="false" ht="15" hidden="false" customHeight="true" outlineLevel="0" collapsed="false">
      <c r="B31" s="113" t="s">
        <v>4077</v>
      </c>
      <c r="C31" s="544" t="n">
        <f aca="false">J11</f>
        <v>895765.371841935</v>
      </c>
      <c r="D31" s="634" t="s">
        <v>5928</v>
      </c>
      <c r="K31" s="6"/>
    </row>
    <row r="32" customFormat="false" ht="15" hidden="false" customHeight="true" outlineLevel="0" collapsed="false">
      <c r="B32" s="113" t="s">
        <v>3460</v>
      </c>
      <c r="C32" s="544" t="n">
        <f aca="false">K11</f>
        <v>6082323.40905265</v>
      </c>
      <c r="D32" s="634" t="s">
        <v>4079</v>
      </c>
      <c r="K32" s="6"/>
    </row>
    <row r="33" customFormat="false" ht="15" hidden="false" customHeight="true" outlineLevel="0" collapsed="false">
      <c r="B33" s="113" t="s">
        <v>5929</v>
      </c>
      <c r="C33" s="544" t="n">
        <f aca="false">K20</f>
        <v>4175134.86434297</v>
      </c>
      <c r="D33" s="634" t="s">
        <v>4081</v>
      </c>
      <c r="K33" s="6"/>
    </row>
    <row r="34" customFormat="false" ht="15" hidden="false" customHeight="true" outlineLevel="0" collapsed="false">
      <c r="B34" s="113" t="s">
        <v>5930</v>
      </c>
      <c r="C34" s="1288" t="n">
        <f aca="false">K20/K11</f>
        <v>0.686437498231169</v>
      </c>
      <c r="D34" s="634" t="s">
        <v>4083</v>
      </c>
      <c r="K34" s="6"/>
    </row>
    <row r="35" customFormat="false" ht="15" hidden="false" customHeight="true" outlineLevel="0" collapsed="false">
      <c r="B35" s="113" t="s">
        <v>4084</v>
      </c>
      <c r="C35" s="1288" t="n">
        <f aca="false">(J11/C11)^(1/7)-1</f>
        <v>0.0708004745979443</v>
      </c>
      <c r="D35" s="634" t="s">
        <v>4085</v>
      </c>
      <c r="K35" s="6"/>
    </row>
  </sheetData>
  <mergeCells count="8">
    <mergeCell ref="B2:G2"/>
    <mergeCell ref="H2:K2"/>
    <mergeCell ref="B3:K3"/>
    <mergeCell ref="B9:K9"/>
    <mergeCell ref="B14:K14"/>
    <mergeCell ref="B19:K19"/>
    <mergeCell ref="B23:K23"/>
    <mergeCell ref="B28:K2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8B95E"/>
    <pageSetUpPr fitToPage="false"/>
  </sheetPr>
  <dimension ref="B1:N7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6.83"/>
    <col collapsed="false" customWidth="true" hidden="false" outlineLevel="0" max="3" min="3" style="0" width="23.16"/>
    <col collapsed="false" customWidth="true" hidden="false" outlineLevel="0" max="13" min="4" style="0" width="11"/>
  </cols>
  <sheetData>
    <row r="1" customFormat="false" ht="3.75" hidden="false" customHeight="true" outlineLevel="0" collapsed="false">
      <c r="B1" s="1"/>
      <c r="C1" s="1" t="s">
        <v>993</v>
      </c>
      <c r="D1" s="2"/>
      <c r="E1" s="2"/>
      <c r="F1" s="2"/>
      <c r="G1" s="2"/>
      <c r="H1" s="2"/>
      <c r="I1" s="2"/>
      <c r="J1" s="2"/>
      <c r="K1" s="2"/>
      <c r="L1" s="2"/>
      <c r="M1" s="2"/>
    </row>
    <row r="2" customFormat="false" ht="30" hidden="false" customHeight="true" outlineLevel="0" collapsed="false">
      <c r="B2" s="298" t="s">
        <v>994</v>
      </c>
      <c r="C2" s="298"/>
      <c r="D2" s="298"/>
      <c r="E2" s="298"/>
      <c r="F2" s="298"/>
      <c r="G2" s="298"/>
      <c r="H2" s="298"/>
      <c r="I2" s="298"/>
      <c r="J2" s="298"/>
      <c r="K2" s="299" t="s">
        <v>995</v>
      </c>
      <c r="L2" s="299"/>
      <c r="M2" s="299"/>
    </row>
    <row r="3" customFormat="false" ht="36" hidden="false" customHeight="true" outlineLevel="0" collapsed="false">
      <c r="B3" s="300" t="s">
        <v>996</v>
      </c>
      <c r="C3" s="300"/>
      <c r="D3" s="300"/>
      <c r="E3" s="300"/>
      <c r="F3" s="300"/>
      <c r="G3" s="300"/>
      <c r="H3" s="300"/>
      <c r="I3" s="300"/>
      <c r="J3" s="300"/>
      <c r="K3" s="300"/>
      <c r="L3" s="300"/>
      <c r="M3" s="300"/>
    </row>
    <row r="4" customFormat="false" ht="15" hidden="false" customHeight="true" outlineLevel="0" collapsed="false">
      <c r="B4" s="6"/>
      <c r="C4" s="6"/>
    </row>
    <row r="5" customFormat="false" ht="24" hidden="false" customHeight="true" outlineLevel="0" collapsed="false">
      <c r="B5" s="3" t="s">
        <v>997</v>
      </c>
      <c r="C5" s="3"/>
      <c r="D5" s="3"/>
      <c r="E5" s="3"/>
      <c r="F5" s="3"/>
      <c r="G5" s="3"/>
      <c r="H5" s="3"/>
      <c r="I5" s="3"/>
      <c r="J5" s="3"/>
      <c r="K5" s="3"/>
      <c r="L5" s="3"/>
      <c r="M5" s="3"/>
    </row>
    <row r="6" customFormat="false" ht="33.75" hidden="false" customHeight="true" outlineLevel="0" collapsed="false">
      <c r="B6" s="301" t="s">
        <v>998</v>
      </c>
      <c r="C6" s="301"/>
      <c r="D6" s="301"/>
      <c r="E6" s="301"/>
      <c r="F6" s="301"/>
      <c r="G6" s="301"/>
      <c r="H6" s="301"/>
      <c r="I6" s="301"/>
      <c r="J6" s="301"/>
      <c r="K6" s="301"/>
      <c r="L6" s="301"/>
      <c r="M6" s="301"/>
    </row>
    <row r="7" customFormat="false" ht="15" hidden="false" customHeight="true" outlineLevel="0" collapsed="false">
      <c r="B7" s="6"/>
      <c r="C7" s="6"/>
    </row>
    <row r="8" customFormat="false" ht="24" hidden="false" customHeight="true" outlineLevel="0" collapsed="false">
      <c r="B8" s="3" t="s">
        <v>999</v>
      </c>
      <c r="C8" s="3"/>
      <c r="D8" s="3"/>
      <c r="E8" s="3"/>
      <c r="F8" s="3"/>
      <c r="G8" s="3"/>
      <c r="H8" s="3"/>
      <c r="I8" s="3"/>
      <c r="J8" s="3"/>
      <c r="K8" s="3"/>
      <c r="L8" s="3"/>
      <c r="M8" s="3"/>
    </row>
    <row r="9" customFormat="false" ht="51" hidden="false" customHeight="true" outlineLevel="0" collapsed="false">
      <c r="B9" s="302" t="s">
        <v>1000</v>
      </c>
      <c r="C9" s="302"/>
      <c r="D9" s="302"/>
      <c r="E9" s="302"/>
      <c r="F9" s="302"/>
      <c r="G9" s="302"/>
      <c r="H9" s="302"/>
      <c r="I9" s="302"/>
      <c r="J9" s="302"/>
      <c r="K9" s="302"/>
      <c r="L9" s="302"/>
      <c r="M9" s="302"/>
    </row>
    <row r="10" customFormat="false" ht="15" hidden="false" customHeight="true" outlineLevel="0" collapsed="false">
      <c r="B10" s="6"/>
      <c r="C10" s="6"/>
    </row>
    <row r="11" customFormat="false" ht="24" hidden="false" customHeight="true" outlineLevel="0" collapsed="false">
      <c r="B11" s="3" t="s">
        <v>1001</v>
      </c>
      <c r="C11" s="3"/>
      <c r="D11" s="3"/>
      <c r="E11" s="3"/>
      <c r="F11" s="3"/>
      <c r="G11" s="3"/>
      <c r="H11" s="3"/>
      <c r="I11" s="3"/>
      <c r="J11" s="3"/>
      <c r="K11" s="3"/>
      <c r="L11" s="3"/>
      <c r="M11" s="3"/>
    </row>
    <row r="12" customFormat="false" ht="36" hidden="false" customHeight="true" outlineLevel="0" collapsed="false">
      <c r="B12" s="302" t="s">
        <v>1002</v>
      </c>
      <c r="C12" s="302"/>
      <c r="D12" s="302"/>
      <c r="E12" s="302"/>
      <c r="F12" s="302"/>
      <c r="G12" s="302"/>
      <c r="H12" s="302"/>
      <c r="I12" s="302"/>
      <c r="J12" s="302"/>
      <c r="K12" s="302"/>
      <c r="L12" s="302"/>
      <c r="M12" s="302"/>
    </row>
    <row r="13" customFormat="false" ht="15" hidden="false" customHeight="true" outlineLevel="0" collapsed="false">
      <c r="B13" s="6"/>
      <c r="C13" s="6"/>
    </row>
    <row r="14" customFormat="false" ht="24" hidden="false" customHeight="true" outlineLevel="0" collapsed="false">
      <c r="B14" s="303" t="s">
        <v>1003</v>
      </c>
      <c r="C14" s="303"/>
      <c r="D14" s="303"/>
      <c r="E14" s="303"/>
      <c r="F14" s="303"/>
      <c r="G14" s="303"/>
      <c r="H14" s="303"/>
      <c r="I14" s="303"/>
      <c r="J14" s="303"/>
      <c r="K14" s="303"/>
      <c r="L14" s="303"/>
      <c r="M14" s="303"/>
    </row>
    <row r="15" customFormat="false" ht="111" hidden="false" customHeight="true" outlineLevel="0" collapsed="false">
      <c r="B15" s="304" t="s">
        <v>217</v>
      </c>
      <c r="C15" s="304"/>
      <c r="D15" s="305" t="n">
        <f aca="false">'Gaming · Revenue'!D58</f>
        <v>1000998.35</v>
      </c>
      <c r="E15" s="305"/>
      <c r="F15" s="306" t="str">
        <f aca="false">"Footfall-driven · "&amp;TEXT(1-'Master Cost'!D7,"0%")&amp;" margin · entertainment + discovery"</f>
        <v>Footfall-driven · 53% margin · entertainment + discovery</v>
      </c>
    </row>
    <row r="16" customFormat="false" ht="111" hidden="false" customHeight="true" outlineLevel="0" collapsed="false">
      <c r="B16" s="304" t="s">
        <v>141</v>
      </c>
      <c r="C16" s="304"/>
      <c r="D16" s="305" t="n">
        <f aca="false">'Events · Revenue'!E18</f>
        <v>1206210</v>
      </c>
      <c r="E16" s="305"/>
      <c r="F16" s="306" t="str">
        <f aca="false">"Event venue · "&amp;TEXT(1-'Master Cost'!D8,"0%")&amp;" margin · top of industry range"</f>
        <v>Event venue · 67% margin · top of industry range</v>
      </c>
    </row>
    <row r="17" customFormat="false" ht="126" hidden="false" customHeight="true" outlineLevel="0" collapsed="false">
      <c r="B17" s="304" t="s">
        <v>145</v>
      </c>
      <c r="C17" s="304"/>
      <c r="D17" s="305" t="n">
        <f aca="false">'Academy · Revenue'!E17</f>
        <v>1595070</v>
      </c>
      <c r="E17" s="305"/>
      <c r="F17" s="306" t="str">
        <f aca="false">"6 specialized labs · B2C + B2B · "&amp;TEXT(1-'Master Cost'!D9,"0%")&amp;" margin · highest revenue pillar"</f>
        <v>6 specialized labs · B2C + B2B · 68% margin · highest revenue pillar</v>
      </c>
    </row>
    <row r="18" customFormat="false" ht="96" hidden="false" customHeight="true" outlineLevel="0" collapsed="false">
      <c r="B18" s="304" t="s">
        <v>149</v>
      </c>
      <c r="C18" s="304"/>
      <c r="D18" s="305" t="n">
        <f aca="false">'Esports · Revenue'!E12</f>
        <v>693656.4</v>
      </c>
      <c r="E18" s="305"/>
      <c r="F18" s="306" t="str">
        <f aca="false">"Membership-based · "&amp;TEXT(1-'Master Cost'!D10,"0%")&amp;" margin · brand IP"</f>
        <v>Membership-based · 69% margin · brand IP</v>
      </c>
    </row>
    <row r="19" customFormat="false" ht="96" hidden="false" customHeight="true" outlineLevel="0" collapsed="false">
      <c r="B19" s="304" t="s">
        <v>151</v>
      </c>
      <c r="C19" s="304"/>
      <c r="D19" s="305" t="n">
        <f aca="false">'Museum · Revenue'!E24</f>
        <v>488873.1</v>
      </c>
      <c r="E19" s="305"/>
      <c r="F19" s="306" t="str">
        <f aca="false">"Cultural anchor · "&amp;TEXT(1-'Master Cost'!D11,"0%")&amp;" margin · traffic feeder"</f>
        <v>Cultural anchor · 49% margin · traffic feeder</v>
      </c>
    </row>
    <row r="20" customFormat="false" ht="111" hidden="false" customHeight="true" outlineLevel="0" collapsed="false">
      <c r="B20" s="304" t="s">
        <v>143</v>
      </c>
      <c r="C20" s="304"/>
      <c r="D20" s="305" t="n">
        <f aca="false">'F&amp;B · Revenue'!E29</f>
        <v>789714.3</v>
      </c>
      <c r="E20" s="305"/>
      <c r="F20" s="306" t="str">
        <f aca="false">"Rooftop + 500sqm leasable · "&amp;TEXT(1-'Master Cost'!D12,"0%")&amp;" margin · stability layer"</f>
        <v>Rooftop + 500sqm leasable · 91% margin · stability layer</v>
      </c>
    </row>
    <row r="21" customFormat="false" ht="111" hidden="false" customHeight="true" outlineLevel="0" collapsed="false">
      <c r="B21" s="304" t="s">
        <v>153</v>
      </c>
      <c r="C21" s="304"/>
      <c r="D21" s="305" t="n">
        <f aca="false">'Sponsorships · Revenue'!E27</f>
        <v>287000</v>
      </c>
      <c r="E21" s="305"/>
      <c r="F21" s="306" t="str">
        <f aca="false">"F&amp;B 4 streams · "&amp;TEXT(1-'Master Cost'!D13,"0%")&amp;" EBITDA margin · 75% gross margin"</f>
        <v>F&amp;B 4 streams · 27% EBITDA margin · 75% gross margin</v>
      </c>
    </row>
    <row r="22" customFormat="false" ht="126" hidden="false" customHeight="true" outlineLevel="0" collapsed="false">
      <c r="B22" s="304" t="s">
        <v>157</v>
      </c>
      <c r="C22" s="304"/>
      <c r="D22" s="305" t="n">
        <f aca="false">'Subleasing · Revenue'!E30</f>
        <v>321000</v>
      </c>
      <c r="E22" s="305"/>
      <c r="F22" s="306" t="str">
        <f aca="false">"Brand monetization · "&amp;TEXT(1-'Master Cost'!D14,"0%")&amp;" margin · diversified across 4 streams"</f>
        <v>Brand monetization · 63% margin · diversified across 4 streams</v>
      </c>
    </row>
    <row r="23" customFormat="false" ht="111" hidden="false" customHeight="true" outlineLevel="0" collapsed="false">
      <c r="B23" s="304" t="s">
        <v>155</v>
      </c>
      <c r="C23" s="304"/>
      <c r="D23" s="305" t="n">
        <f aca="false">'Borderless · Revenue'!E21</f>
        <v>289500</v>
      </c>
      <c r="E23" s="305"/>
      <c r="F23" s="306" t="str">
        <f aca="false">"Talent + Studio + Education · "&amp;TEXT(1-'Master Cost'!D15,"0%")&amp;" margin · asset-light"</f>
        <v>Talent + Studio + Education · 68% margin · asset-light</v>
      </c>
    </row>
    <row r="24" customFormat="false" ht="15" hidden="false" customHeight="true" outlineLevel="0" collapsed="false">
      <c r="B24" s="6"/>
      <c r="C24" s="6"/>
    </row>
    <row r="25" customFormat="false" ht="24" hidden="false" customHeight="true" outlineLevel="0" collapsed="false">
      <c r="B25" s="3" t="s">
        <v>1004</v>
      </c>
      <c r="C25" s="3"/>
      <c r="D25" s="3"/>
      <c r="E25" s="3"/>
      <c r="F25" s="3"/>
      <c r="G25" s="3"/>
      <c r="H25" s="3"/>
      <c r="I25" s="3"/>
      <c r="J25" s="3"/>
      <c r="K25" s="3"/>
      <c r="L25" s="3"/>
      <c r="M25" s="3"/>
    </row>
    <row r="26" customFormat="false" ht="36" hidden="false" customHeight="true" outlineLevel="0" collapsed="false">
      <c r="B26" s="302" t="s">
        <v>1005</v>
      </c>
      <c r="C26" s="302"/>
      <c r="D26" s="302"/>
      <c r="E26" s="302"/>
      <c r="F26" s="302"/>
      <c r="G26" s="302"/>
      <c r="H26" s="302"/>
      <c r="I26" s="302"/>
      <c r="J26" s="302"/>
      <c r="K26" s="302"/>
      <c r="L26" s="302"/>
      <c r="M26" s="302"/>
    </row>
    <row r="27" customFormat="false" ht="15" hidden="false" customHeight="true" outlineLevel="0" collapsed="false">
      <c r="B27" s="6"/>
      <c r="C27" s="6"/>
    </row>
    <row r="28" customFormat="false" ht="24" hidden="false" customHeight="true" outlineLevel="0" collapsed="false">
      <c r="B28" s="3" t="s">
        <v>1006</v>
      </c>
      <c r="C28" s="3"/>
      <c r="D28" s="3"/>
      <c r="E28" s="3"/>
      <c r="F28" s="3"/>
      <c r="G28" s="3"/>
      <c r="H28" s="3"/>
      <c r="I28" s="3"/>
      <c r="J28" s="3"/>
      <c r="K28" s="3"/>
      <c r="L28" s="3"/>
      <c r="M28" s="3"/>
    </row>
    <row r="29" customFormat="false" ht="51" hidden="false" customHeight="true" outlineLevel="0" collapsed="false">
      <c r="B29" s="307" t="s">
        <v>1007</v>
      </c>
      <c r="C29" s="6"/>
    </row>
    <row r="30" customFormat="false" ht="15" hidden="false" customHeight="true" outlineLevel="0" collapsed="false">
      <c r="B30" s="6"/>
      <c r="C30" s="6"/>
    </row>
    <row r="31" customFormat="false" ht="24" hidden="false" customHeight="true" outlineLevel="0" collapsed="false">
      <c r="B31" s="3" t="s">
        <v>1008</v>
      </c>
      <c r="C31" s="3"/>
      <c r="D31" s="3"/>
      <c r="E31" s="3"/>
      <c r="F31" s="3"/>
      <c r="G31" s="3"/>
      <c r="H31" s="3"/>
      <c r="I31" s="3"/>
      <c r="J31" s="3"/>
      <c r="K31" s="3"/>
      <c r="L31" s="3"/>
      <c r="M31" s="3"/>
    </row>
    <row r="32" customFormat="false" ht="66" hidden="false" customHeight="true" outlineLevel="0" collapsed="false">
      <c r="B32" s="302" t="s">
        <v>1009</v>
      </c>
      <c r="C32" s="302"/>
      <c r="D32" s="302"/>
      <c r="E32" s="302"/>
      <c r="F32" s="302"/>
      <c r="G32" s="302"/>
      <c r="H32" s="302"/>
      <c r="I32" s="302"/>
      <c r="J32" s="302"/>
      <c r="K32" s="302"/>
      <c r="L32" s="302"/>
      <c r="M32" s="302"/>
    </row>
    <row r="33" customFormat="false" ht="15" hidden="false" customHeight="true" outlineLevel="0" collapsed="false">
      <c r="B33" s="6"/>
      <c r="C33" s="6"/>
    </row>
    <row r="34" customFormat="false" ht="24" hidden="false" customHeight="true" outlineLevel="0" collapsed="false">
      <c r="B34" s="308" t="s">
        <v>1010</v>
      </c>
      <c r="C34" s="6"/>
    </row>
    <row r="35" customFormat="false" ht="18" hidden="false" customHeight="true" outlineLevel="0" collapsed="false">
      <c r="B35" s="309" t="s">
        <v>137</v>
      </c>
      <c r="C35" s="309"/>
      <c r="D35" s="309"/>
      <c r="E35" s="310" t="s">
        <v>907</v>
      </c>
      <c r="F35" s="310"/>
      <c r="G35" s="310"/>
      <c r="H35" s="310" t="s">
        <v>1011</v>
      </c>
      <c r="I35" s="310"/>
      <c r="J35" s="310"/>
      <c r="K35" s="310" t="s">
        <v>1012</v>
      </c>
      <c r="L35" s="310"/>
      <c r="M35" s="310"/>
    </row>
    <row r="36" customFormat="false" ht="30" hidden="false" customHeight="true" outlineLevel="0" collapsed="false">
      <c r="B36" s="10" t="n">
        <f aca="false">'Consolidated 8Yr P&amp;L'!F16</f>
        <v>6672022.15</v>
      </c>
      <c r="C36" s="10"/>
      <c r="D36" s="10"/>
      <c r="E36" s="311" t="n">
        <f aca="false">'Consolidated 8Yr P&amp;L'!F35</f>
        <v>2106139.43959299</v>
      </c>
      <c r="F36" s="311"/>
      <c r="G36" s="311"/>
      <c r="H36" s="11" t="n">
        <f aca="false">'Consolidated 8Yr P&amp;L'!F35/'Consolidated 8Yr P&amp;L'!F16</f>
        <v>0.315667333267619</v>
      </c>
      <c r="I36" s="11"/>
      <c r="J36" s="11"/>
      <c r="K36" s="311" t="n">
        <f aca="false">'Consolidated 8Yr P&amp;L'!F30</f>
        <v>3867690.10409299</v>
      </c>
      <c r="L36" s="311"/>
      <c r="M36" s="311"/>
    </row>
    <row r="37" customFormat="false" ht="15" hidden="false" customHeight="true" outlineLevel="0" collapsed="false">
      <c r="B37" s="6"/>
      <c r="C37" s="6"/>
    </row>
    <row r="38" customFormat="false" ht="24" hidden="false" customHeight="true" outlineLevel="0" collapsed="false">
      <c r="B38" s="3" t="s">
        <v>1013</v>
      </c>
      <c r="C38" s="3"/>
      <c r="D38" s="3"/>
      <c r="E38" s="3"/>
      <c r="F38" s="3"/>
      <c r="G38" s="3"/>
      <c r="H38" s="3"/>
      <c r="I38" s="3"/>
      <c r="J38" s="3"/>
      <c r="K38" s="3"/>
      <c r="L38" s="3"/>
      <c r="M38" s="3"/>
    </row>
    <row r="39" customFormat="false" ht="49.5" hidden="false" customHeight="true" outlineLevel="0" collapsed="false">
      <c r="B39" s="312" t="s">
        <v>1014</v>
      </c>
      <c r="C39" s="312"/>
      <c r="D39" s="312"/>
      <c r="E39" s="312"/>
      <c r="F39" s="312"/>
      <c r="G39" s="312"/>
      <c r="H39" s="312"/>
      <c r="I39" s="312"/>
      <c r="J39" s="312"/>
      <c r="K39" s="312"/>
      <c r="L39" s="312"/>
      <c r="M39" s="312"/>
      <c r="N39" s="312"/>
    </row>
    <row r="40" customFormat="false" ht="15" hidden="false" customHeight="true" outlineLevel="0" collapsed="false">
      <c r="B40" s="6"/>
      <c r="C40" s="6"/>
    </row>
    <row r="41" customFormat="false" ht="24" hidden="false" customHeight="true" outlineLevel="0" collapsed="false">
      <c r="B41" s="3" t="s">
        <v>1015</v>
      </c>
      <c r="C41" s="3"/>
      <c r="D41" s="3"/>
      <c r="E41" s="3"/>
      <c r="F41" s="3"/>
      <c r="G41" s="3"/>
      <c r="H41" s="3"/>
      <c r="I41" s="3"/>
      <c r="J41" s="3"/>
      <c r="K41" s="3"/>
      <c r="L41" s="3"/>
      <c r="M41" s="3"/>
    </row>
    <row r="42" customFormat="false" ht="49.5" hidden="false" customHeight="true" outlineLevel="0" collapsed="false">
      <c r="B42" s="312" t="s">
        <v>1016</v>
      </c>
      <c r="C42" s="312"/>
      <c r="D42" s="312"/>
      <c r="E42" s="312"/>
      <c r="F42" s="312"/>
      <c r="G42" s="312"/>
      <c r="H42" s="312"/>
      <c r="I42" s="312"/>
      <c r="J42" s="312"/>
      <c r="K42" s="312"/>
      <c r="L42" s="312"/>
      <c r="M42" s="312"/>
      <c r="N42" s="312"/>
    </row>
    <row r="43" customFormat="false" ht="15" hidden="false" customHeight="true" outlineLevel="0" collapsed="false">
      <c r="B43" s="6"/>
      <c r="C43" s="6"/>
    </row>
    <row r="44" customFormat="false" ht="24" hidden="false" customHeight="true" outlineLevel="0" collapsed="false">
      <c r="B44" s="3" t="s">
        <v>1017</v>
      </c>
      <c r="C44" s="3"/>
      <c r="D44" s="3"/>
      <c r="E44" s="3"/>
      <c r="F44" s="3"/>
      <c r="G44" s="3"/>
      <c r="H44" s="3"/>
      <c r="I44" s="3"/>
      <c r="J44" s="3"/>
      <c r="K44" s="3"/>
      <c r="L44" s="3"/>
      <c r="M44" s="3"/>
    </row>
    <row r="45" customFormat="false" ht="36" hidden="false" customHeight="true" outlineLevel="0" collapsed="false">
      <c r="B45" s="302" t="s">
        <v>1018</v>
      </c>
      <c r="C45" s="302"/>
      <c r="D45" s="302"/>
      <c r="E45" s="302"/>
      <c r="F45" s="302"/>
      <c r="G45" s="302"/>
      <c r="H45" s="302"/>
      <c r="I45" s="302"/>
      <c r="J45" s="302"/>
      <c r="K45" s="302"/>
      <c r="L45" s="302"/>
      <c r="M45" s="302"/>
    </row>
    <row r="46" customFormat="false" ht="15" hidden="false" customHeight="true" outlineLevel="0" collapsed="false">
      <c r="B46" s="6"/>
      <c r="C46" s="6"/>
    </row>
    <row r="47" customFormat="false" ht="24" hidden="false" customHeight="true" outlineLevel="0" collapsed="false">
      <c r="B47" s="3" t="s">
        <v>1019</v>
      </c>
      <c r="C47" s="3"/>
      <c r="D47" s="3"/>
      <c r="E47" s="3"/>
      <c r="F47" s="3"/>
      <c r="G47" s="3"/>
      <c r="H47" s="3"/>
      <c r="I47" s="3"/>
      <c r="J47" s="3"/>
      <c r="K47" s="3"/>
      <c r="L47" s="3"/>
      <c r="M47" s="3"/>
    </row>
    <row r="48" customFormat="false" ht="42" hidden="false" customHeight="true" outlineLevel="0" collapsed="false">
      <c r="B48" s="301" t="s">
        <v>1020</v>
      </c>
      <c r="C48" s="301"/>
      <c r="D48" s="301"/>
      <c r="E48" s="301"/>
      <c r="F48" s="301"/>
      <c r="G48" s="301"/>
      <c r="H48" s="301"/>
      <c r="I48" s="301"/>
      <c r="J48" s="301"/>
      <c r="K48" s="301"/>
      <c r="L48" s="301"/>
      <c r="M48" s="301"/>
    </row>
    <row r="49" customFormat="false" ht="15" hidden="false" customHeight="true" outlineLevel="0" collapsed="false">
      <c r="B49" s="6"/>
      <c r="C49" s="6"/>
    </row>
    <row r="50" customFormat="false" ht="18" hidden="false" customHeight="true" outlineLevel="0" collapsed="false">
      <c r="B50" s="159" t="s">
        <v>1021</v>
      </c>
      <c r="C50" s="6"/>
    </row>
    <row r="51" customFormat="false" ht="49.5" hidden="false" customHeight="true" outlineLevel="0" collapsed="false">
      <c r="B51" s="313" t="s">
        <v>1022</v>
      </c>
      <c r="C51" s="313"/>
      <c r="D51" s="313"/>
      <c r="E51" s="313"/>
      <c r="F51" s="313"/>
      <c r="G51" s="313"/>
      <c r="H51" s="313"/>
      <c r="I51" s="313"/>
      <c r="J51" s="313"/>
      <c r="K51" s="313"/>
      <c r="L51" s="313"/>
      <c r="M51" s="313"/>
      <c r="N51" s="313"/>
    </row>
    <row r="52" customFormat="false" ht="49.5" hidden="false" customHeight="true" outlineLevel="0" collapsed="false">
      <c r="B52" s="313" t="s">
        <v>1023</v>
      </c>
      <c r="C52" s="313"/>
      <c r="D52" s="313"/>
      <c r="E52" s="313"/>
      <c r="F52" s="313"/>
      <c r="G52" s="313"/>
      <c r="H52" s="313"/>
      <c r="I52" s="313"/>
      <c r="J52" s="313"/>
      <c r="K52" s="313"/>
      <c r="L52" s="313"/>
      <c r="M52" s="313"/>
      <c r="N52" s="313"/>
    </row>
    <row r="53" customFormat="false" ht="49.5" hidden="false" customHeight="true" outlineLevel="0" collapsed="false">
      <c r="B53" s="313" t="s">
        <v>1024</v>
      </c>
      <c r="C53" s="313"/>
      <c r="D53" s="313"/>
      <c r="E53" s="313"/>
      <c r="F53" s="313"/>
      <c r="G53" s="313"/>
      <c r="H53" s="313"/>
      <c r="I53" s="313"/>
      <c r="J53" s="313"/>
      <c r="K53" s="313"/>
      <c r="L53" s="313"/>
      <c r="M53" s="313"/>
      <c r="N53" s="313"/>
    </row>
    <row r="54" customFormat="false" ht="49.5" hidden="false" customHeight="true" outlineLevel="0" collapsed="false">
      <c r="B54" s="313" t="s">
        <v>1025</v>
      </c>
      <c r="C54" s="313"/>
      <c r="D54" s="313"/>
      <c r="E54" s="313"/>
      <c r="F54" s="313"/>
      <c r="G54" s="313"/>
      <c r="H54" s="313"/>
      <c r="I54" s="313"/>
      <c r="J54" s="313"/>
      <c r="K54" s="313"/>
      <c r="L54" s="313"/>
      <c r="M54" s="313"/>
      <c r="N54" s="313"/>
    </row>
    <row r="55" customFormat="false" ht="49.5" hidden="false" customHeight="true" outlineLevel="0" collapsed="false">
      <c r="B55" s="313" t="s">
        <v>1026</v>
      </c>
      <c r="C55" s="313"/>
      <c r="D55" s="313"/>
      <c r="E55" s="313"/>
      <c r="F55" s="313"/>
      <c r="G55" s="313"/>
      <c r="H55" s="313"/>
      <c r="I55" s="313"/>
      <c r="J55" s="313"/>
      <c r="K55" s="313"/>
      <c r="L55" s="313"/>
      <c r="M55" s="313"/>
      <c r="N55" s="313"/>
    </row>
    <row r="56" customFormat="false" ht="49.5" hidden="false" customHeight="true" outlineLevel="0" collapsed="false">
      <c r="B56" s="313" t="s">
        <v>1027</v>
      </c>
      <c r="C56" s="313"/>
      <c r="D56" s="313"/>
      <c r="E56" s="313"/>
      <c r="F56" s="313"/>
      <c r="G56" s="313"/>
      <c r="H56" s="313"/>
      <c r="I56" s="313"/>
      <c r="J56" s="313"/>
      <c r="K56" s="313"/>
      <c r="L56" s="313"/>
      <c r="M56" s="313"/>
      <c r="N56" s="313"/>
    </row>
    <row r="57" customFormat="false" ht="15" hidden="false" customHeight="true" outlineLevel="0" collapsed="false">
      <c r="B57" s="6"/>
      <c r="C57" s="6"/>
    </row>
    <row r="58" customFormat="false" ht="24" hidden="false" customHeight="true" outlineLevel="0" collapsed="false">
      <c r="B58" s="159" t="s">
        <v>1028</v>
      </c>
      <c r="C58" s="6"/>
    </row>
    <row r="59" customFormat="false" ht="49.5" hidden="false" customHeight="true" outlineLevel="0" collapsed="false">
      <c r="B59" s="313" t="s">
        <v>1029</v>
      </c>
      <c r="C59" s="313"/>
      <c r="D59" s="313"/>
      <c r="E59" s="313"/>
      <c r="F59" s="313"/>
      <c r="G59" s="313"/>
      <c r="H59" s="313"/>
      <c r="I59" s="313"/>
      <c r="J59" s="313"/>
      <c r="K59" s="313"/>
      <c r="L59" s="313"/>
      <c r="M59" s="313"/>
      <c r="N59" s="313"/>
    </row>
    <row r="60" customFormat="false" ht="49.5" hidden="false" customHeight="true" outlineLevel="0" collapsed="false">
      <c r="B60" s="313" t="s">
        <v>1030</v>
      </c>
      <c r="C60" s="313"/>
      <c r="D60" s="313"/>
      <c r="E60" s="313"/>
      <c r="F60" s="313"/>
      <c r="G60" s="313"/>
      <c r="H60" s="313"/>
      <c r="I60" s="313"/>
      <c r="J60" s="313"/>
      <c r="K60" s="313"/>
      <c r="L60" s="313"/>
      <c r="M60" s="313"/>
      <c r="N60" s="313"/>
    </row>
    <row r="61" customFormat="false" ht="49.5" hidden="false" customHeight="true" outlineLevel="0" collapsed="false">
      <c r="B61" s="313" t="s">
        <v>1031</v>
      </c>
      <c r="C61" s="313"/>
      <c r="D61" s="313"/>
      <c r="E61" s="313"/>
      <c r="F61" s="313"/>
      <c r="G61" s="313"/>
      <c r="H61" s="313"/>
      <c r="I61" s="313"/>
      <c r="J61" s="313"/>
      <c r="K61" s="313"/>
      <c r="L61" s="313"/>
      <c r="M61" s="313"/>
      <c r="N61" s="313"/>
    </row>
    <row r="62" customFormat="false" ht="49.5" hidden="false" customHeight="true" outlineLevel="0" collapsed="false">
      <c r="B62" s="313" t="s">
        <v>1032</v>
      </c>
      <c r="C62" s="313"/>
      <c r="D62" s="313"/>
      <c r="E62" s="313"/>
      <c r="F62" s="313"/>
      <c r="G62" s="313"/>
      <c r="H62" s="313"/>
      <c r="I62" s="313"/>
      <c r="J62" s="313"/>
      <c r="K62" s="313"/>
      <c r="L62" s="313"/>
      <c r="M62" s="313"/>
      <c r="N62" s="313"/>
    </row>
    <row r="63" customFormat="false" ht="49.5" hidden="false" customHeight="true" outlineLevel="0" collapsed="false">
      <c r="B63" s="313" t="s">
        <v>1033</v>
      </c>
      <c r="C63" s="313"/>
      <c r="D63" s="313"/>
      <c r="E63" s="313"/>
      <c r="F63" s="313"/>
      <c r="G63" s="313"/>
      <c r="H63" s="313"/>
      <c r="I63" s="313"/>
      <c r="J63" s="313"/>
      <c r="K63" s="313"/>
      <c r="L63" s="313"/>
      <c r="M63" s="313"/>
      <c r="N63" s="313"/>
    </row>
    <row r="64" customFormat="false" ht="49.5" hidden="false" customHeight="true" outlineLevel="0" collapsed="false">
      <c r="B64" s="313" t="s">
        <v>1034</v>
      </c>
      <c r="C64" s="313"/>
      <c r="D64" s="313"/>
      <c r="E64" s="313"/>
      <c r="F64" s="313"/>
      <c r="G64" s="313"/>
      <c r="H64" s="313"/>
      <c r="I64" s="313"/>
      <c r="J64" s="313"/>
      <c r="K64" s="313"/>
      <c r="L64" s="313"/>
      <c r="M64" s="313"/>
      <c r="N64" s="313"/>
    </row>
    <row r="66" customFormat="false" ht="21.75" hidden="false" customHeight="true" outlineLevel="0" collapsed="false">
      <c r="B66" s="145" t="s">
        <v>1035</v>
      </c>
    </row>
    <row r="67" customFormat="false" ht="37.5" hidden="false" customHeight="true" outlineLevel="0" collapsed="false">
      <c r="B67" s="313" t="s">
        <v>1036</v>
      </c>
      <c r="C67" s="313"/>
      <c r="D67" s="313"/>
      <c r="E67" s="313"/>
      <c r="F67" s="313"/>
      <c r="G67" s="313"/>
      <c r="H67" s="313"/>
      <c r="I67" s="313"/>
      <c r="J67" s="313"/>
      <c r="K67" s="313"/>
      <c r="L67" s="313"/>
      <c r="M67" s="313"/>
      <c r="N67" s="313"/>
    </row>
    <row r="68" customFormat="false" ht="37.5" hidden="false" customHeight="true" outlineLevel="0" collapsed="false">
      <c r="B68" s="313" t="s">
        <v>1037</v>
      </c>
      <c r="C68" s="313"/>
      <c r="D68" s="313"/>
      <c r="E68" s="313"/>
      <c r="F68" s="313"/>
      <c r="G68" s="313"/>
      <c r="H68" s="313"/>
      <c r="I68" s="313"/>
      <c r="J68" s="313"/>
      <c r="K68" s="313"/>
      <c r="L68" s="313"/>
      <c r="M68" s="313"/>
      <c r="N68" s="313"/>
    </row>
    <row r="69" customFormat="false" ht="37.5" hidden="false" customHeight="true" outlineLevel="0" collapsed="false">
      <c r="B69" s="313" t="s">
        <v>1038</v>
      </c>
      <c r="C69" s="313"/>
      <c r="D69" s="313"/>
      <c r="E69" s="313"/>
      <c r="F69" s="313"/>
      <c r="G69" s="313"/>
      <c r="H69" s="313"/>
      <c r="I69" s="313"/>
      <c r="J69" s="313"/>
      <c r="K69" s="313"/>
      <c r="L69" s="313"/>
      <c r="M69" s="313"/>
      <c r="N69" s="313"/>
    </row>
    <row r="70" customFormat="false" ht="37.5" hidden="false" customHeight="true" outlineLevel="0" collapsed="false">
      <c r="B70" s="313" t="s">
        <v>1039</v>
      </c>
      <c r="C70" s="313"/>
      <c r="D70" s="313"/>
      <c r="E70" s="313"/>
      <c r="F70" s="313"/>
      <c r="G70" s="313"/>
      <c r="H70" s="313"/>
      <c r="I70" s="313"/>
      <c r="J70" s="313"/>
      <c r="K70" s="313"/>
      <c r="L70" s="313"/>
      <c r="M70" s="313"/>
      <c r="N70" s="313"/>
    </row>
    <row r="71" customFormat="false" ht="37.5" hidden="false" customHeight="true" outlineLevel="0" collapsed="false">
      <c r="B71" s="313" t="s">
        <v>1040</v>
      </c>
      <c r="C71" s="313"/>
      <c r="D71" s="313"/>
      <c r="E71" s="313"/>
      <c r="F71" s="313"/>
      <c r="G71" s="313"/>
      <c r="H71" s="313"/>
      <c r="I71" s="313"/>
      <c r="J71" s="313"/>
      <c r="K71" s="313"/>
      <c r="L71" s="313"/>
      <c r="M71" s="313"/>
      <c r="N71" s="313"/>
    </row>
    <row r="72" customFormat="false" ht="37.5" hidden="false" customHeight="true" outlineLevel="0" collapsed="false">
      <c r="B72" s="313" t="s">
        <v>1041</v>
      </c>
      <c r="C72" s="313"/>
      <c r="D72" s="313"/>
      <c r="E72" s="313"/>
      <c r="F72" s="313"/>
      <c r="G72" s="313"/>
      <c r="H72" s="313"/>
      <c r="I72" s="313"/>
      <c r="J72" s="313"/>
      <c r="K72" s="313"/>
      <c r="L72" s="313"/>
      <c r="M72" s="313"/>
      <c r="N72" s="313"/>
    </row>
    <row r="74" customFormat="false" ht="21.75" hidden="false" customHeight="true" outlineLevel="0" collapsed="false">
      <c r="B74" s="145" t="s">
        <v>1042</v>
      </c>
    </row>
    <row r="75" customFormat="false" ht="49.5" hidden="false" customHeight="true" outlineLevel="0" collapsed="false">
      <c r="B75" s="313" t="s">
        <v>1043</v>
      </c>
      <c r="C75" s="313"/>
      <c r="D75" s="313"/>
      <c r="E75" s="313"/>
      <c r="F75" s="313"/>
      <c r="G75" s="313"/>
      <c r="H75" s="313"/>
      <c r="I75" s="313"/>
      <c r="J75" s="313"/>
      <c r="K75" s="313"/>
      <c r="L75" s="313"/>
      <c r="M75" s="313"/>
      <c r="N75" s="313"/>
    </row>
    <row r="76" customFormat="false" ht="49.5" hidden="false" customHeight="true" outlineLevel="0" collapsed="false">
      <c r="B76" s="313" t="s">
        <v>1044</v>
      </c>
      <c r="C76" s="313"/>
      <c r="D76" s="313"/>
      <c r="E76" s="313"/>
      <c r="F76" s="313"/>
      <c r="G76" s="313"/>
      <c r="H76" s="313"/>
      <c r="I76" s="313"/>
      <c r="J76" s="313"/>
      <c r="K76" s="313"/>
      <c r="L76" s="313"/>
      <c r="M76" s="313"/>
      <c r="N76" s="313"/>
    </row>
    <row r="77" customFormat="false" ht="49.5" hidden="false" customHeight="true" outlineLevel="0" collapsed="false">
      <c r="B77" s="313" t="s">
        <v>1045</v>
      </c>
      <c r="C77" s="313"/>
      <c r="D77" s="313"/>
      <c r="E77" s="313"/>
      <c r="F77" s="313"/>
      <c r="G77" s="313"/>
      <c r="H77" s="313"/>
      <c r="I77" s="313"/>
      <c r="J77" s="313"/>
      <c r="K77" s="313"/>
      <c r="L77" s="313"/>
      <c r="M77" s="313"/>
      <c r="N77" s="313"/>
    </row>
    <row r="78" customFormat="false" ht="49.5" hidden="false" customHeight="true" outlineLevel="0" collapsed="false">
      <c r="B78" s="313" t="s">
        <v>1046</v>
      </c>
      <c r="C78" s="313"/>
      <c r="D78" s="313"/>
      <c r="E78" s="313"/>
      <c r="F78" s="313"/>
      <c r="G78" s="313"/>
      <c r="H78" s="313"/>
      <c r="I78" s="313"/>
      <c r="J78" s="313"/>
      <c r="K78" s="313"/>
      <c r="L78" s="313"/>
      <c r="M78" s="313"/>
      <c r="N78" s="313"/>
    </row>
    <row r="79" customFormat="false" ht="49.5" hidden="false" customHeight="true" outlineLevel="0" collapsed="false">
      <c r="B79" s="313" t="s">
        <v>1047</v>
      </c>
      <c r="C79" s="313"/>
      <c r="D79" s="313"/>
      <c r="E79" s="313"/>
      <c r="F79" s="313"/>
      <c r="G79" s="313"/>
      <c r="H79" s="313"/>
      <c r="I79" s="313"/>
      <c r="J79" s="313"/>
      <c r="K79" s="313"/>
      <c r="L79" s="313"/>
      <c r="M79" s="313"/>
      <c r="N79" s="313"/>
    </row>
  </sheetData>
  <mergeCells count="72">
    <mergeCell ref="B2:J2"/>
    <mergeCell ref="K2:M2"/>
    <mergeCell ref="B3:M3"/>
    <mergeCell ref="B5:M5"/>
    <mergeCell ref="B6:M6"/>
    <mergeCell ref="B8:M8"/>
    <mergeCell ref="B9:M9"/>
    <mergeCell ref="B11:M11"/>
    <mergeCell ref="B12:M12"/>
    <mergeCell ref="B14:M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5:M25"/>
    <mergeCell ref="B26:M26"/>
    <mergeCell ref="B28:M28"/>
    <mergeCell ref="B31:M31"/>
    <mergeCell ref="B32:M32"/>
    <mergeCell ref="B35:D35"/>
    <mergeCell ref="E35:G35"/>
    <mergeCell ref="H35:J35"/>
    <mergeCell ref="K35:M35"/>
    <mergeCell ref="B36:D36"/>
    <mergeCell ref="E36:G36"/>
    <mergeCell ref="H36:J36"/>
    <mergeCell ref="K36:M36"/>
    <mergeCell ref="B38:M38"/>
    <mergeCell ref="B39:N39"/>
    <mergeCell ref="B41:M41"/>
    <mergeCell ref="B42:N42"/>
    <mergeCell ref="B44:M44"/>
    <mergeCell ref="B45:M45"/>
    <mergeCell ref="B47:M47"/>
    <mergeCell ref="B48:M48"/>
    <mergeCell ref="B51:N51"/>
    <mergeCell ref="B52:N52"/>
    <mergeCell ref="B53:N53"/>
    <mergeCell ref="B54:N54"/>
    <mergeCell ref="B55:N55"/>
    <mergeCell ref="B56:N56"/>
    <mergeCell ref="B59:N59"/>
    <mergeCell ref="B60:N60"/>
    <mergeCell ref="B61:N61"/>
    <mergeCell ref="B62:N62"/>
    <mergeCell ref="B63:N63"/>
    <mergeCell ref="B64:N64"/>
    <mergeCell ref="B67:N67"/>
    <mergeCell ref="B68:N68"/>
    <mergeCell ref="B69:N69"/>
    <mergeCell ref="B70:N70"/>
    <mergeCell ref="B71:N71"/>
    <mergeCell ref="B72:N72"/>
    <mergeCell ref="B75:N75"/>
    <mergeCell ref="B76:N76"/>
    <mergeCell ref="B77:N77"/>
    <mergeCell ref="B78:N78"/>
    <mergeCell ref="B79:N79"/>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6628</v>
      </c>
      <c r="C2" s="88"/>
      <c r="D2" s="88"/>
      <c r="E2" s="88"/>
      <c r="F2" s="88"/>
      <c r="G2" s="88"/>
      <c r="H2" s="89" t="s">
        <v>995</v>
      </c>
      <c r="I2" s="89"/>
      <c r="J2" s="89"/>
      <c r="K2" s="89"/>
    </row>
    <row r="3" customFormat="false" ht="33.75" hidden="false" customHeight="true" outlineLevel="0" collapsed="false">
      <c r="B3" s="90" t="s">
        <v>5932</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575" t="s">
        <v>4061</v>
      </c>
      <c r="C6" s="575"/>
      <c r="D6" s="575"/>
      <c r="E6" s="575"/>
      <c r="F6" s="575"/>
      <c r="G6" s="575"/>
      <c r="H6" s="575"/>
      <c r="I6" s="575"/>
      <c r="J6" s="575"/>
      <c r="K6" s="575"/>
    </row>
    <row r="7" customFormat="false" ht="15" hidden="false" customHeight="true" outlineLevel="0" collapsed="false">
      <c r="B7" s="81" t="s">
        <v>207</v>
      </c>
      <c r="C7" s="406" t="n">
        <f aca="false">'Esports · 8-Year'!C11</f>
        <v>554925.12</v>
      </c>
      <c r="D7" s="406" t="n">
        <f aca="false">'Esports · 8-Year'!D11</f>
        <v>643019.4828</v>
      </c>
      <c r="E7" s="406" t="n">
        <f aca="false">'Esports · 8-Year'!E11</f>
        <v>735900.07476</v>
      </c>
      <c r="F7" s="406" t="n">
        <f aca="false">'Esports · 8-Year'!F11</f>
        <v>757977.0770028</v>
      </c>
      <c r="G7" s="406" t="n">
        <f aca="false">'Esports · 8-Year'!G11</f>
        <v>780716.389312884</v>
      </c>
      <c r="H7" s="406" t="n">
        <f aca="false">'Esports · 8-Year'!H11</f>
        <v>844344.775041884</v>
      </c>
      <c r="I7" s="406" t="n">
        <f aca="false">'Esports · 8-Year'!I11</f>
        <v>869675.118293141</v>
      </c>
      <c r="J7" s="406" t="n">
        <f aca="false">'Esports · 8-Year'!J11</f>
        <v>895765.371841935</v>
      </c>
      <c r="K7" s="546" t="n">
        <f aca="false">SUM(C7:J7)</f>
        <v>6082323.40905265</v>
      </c>
    </row>
    <row r="8" customFormat="false" ht="15" hidden="false" customHeight="true" outlineLevel="0" collapsed="false">
      <c r="B8" s="6"/>
      <c r="K8" s="6"/>
    </row>
    <row r="9" customFormat="false" ht="21.75" hidden="false" customHeight="true" outlineLevel="0" collapsed="false">
      <c r="B9" s="123" t="s">
        <v>4091</v>
      </c>
      <c r="C9" s="123"/>
      <c r="D9" s="123"/>
      <c r="E9" s="123"/>
      <c r="F9" s="123"/>
      <c r="G9" s="123"/>
      <c r="H9" s="123"/>
      <c r="I9" s="123"/>
      <c r="J9" s="123"/>
      <c r="K9" s="123"/>
    </row>
    <row r="10" customFormat="false" ht="15" hidden="false" customHeight="true" outlineLevel="0" collapsed="false">
      <c r="B10" s="113" t="s">
        <v>4092</v>
      </c>
      <c r="C10" s="360" t="n">
        <f aca="false">-'Esports · 8-Year'!C17</f>
        <v>-194128.544</v>
      </c>
      <c r="D10" s="360" t="n">
        <f aca="false">-'Esports · 8-Year'!D17</f>
        <v>-211215.37616</v>
      </c>
      <c r="E10" s="360" t="n">
        <f aca="false">-'Esports · 8-Year'!E17</f>
        <v>-229152.70256</v>
      </c>
      <c r="F10" s="360" t="n">
        <f aca="false">-'Esports · 8-Year'!F17</f>
        <v>-236027.2836368</v>
      </c>
      <c r="G10" s="360" t="n">
        <f aca="false">-'Esports · 8-Year'!G17</f>
        <v>-243108.102145904</v>
      </c>
      <c r="H10" s="360" t="n">
        <f aca="false">-'Esports · 8-Year'!H17</f>
        <v>-256739.63447765</v>
      </c>
      <c r="I10" s="360" t="n">
        <f aca="false">-'Esports · 8-Year'!I17</f>
        <v>-264441.823511979</v>
      </c>
      <c r="J10" s="360" t="n">
        <f aca="false">-'Esports · 8-Year'!J17</f>
        <v>-272375.078217339</v>
      </c>
      <c r="K10" s="1384" t="n">
        <f aca="false">SUM(C10:J10)</f>
        <v>-1907188.54470967</v>
      </c>
    </row>
    <row r="11" customFormat="false" ht="15" hidden="false" customHeight="true" outlineLevel="0" collapsed="false">
      <c r="B11" s="6"/>
      <c r="K11" s="6"/>
    </row>
    <row r="12" customFormat="false" ht="21.75" hidden="false" customHeight="true" outlineLevel="0" collapsed="false">
      <c r="B12" s="72" t="s">
        <v>4093</v>
      </c>
      <c r="C12" s="72"/>
      <c r="D12" s="72"/>
      <c r="E12" s="72"/>
      <c r="F12" s="72"/>
      <c r="G12" s="72"/>
      <c r="H12" s="72"/>
      <c r="I12" s="72"/>
      <c r="J12" s="72"/>
      <c r="K12" s="72"/>
    </row>
    <row r="13" customFormat="false" ht="15" hidden="false" customHeight="true" outlineLevel="0" collapsed="false">
      <c r="B13" s="81" t="s">
        <v>4094</v>
      </c>
      <c r="C13" s="577" t="n">
        <f aca="false">C7+C10</f>
        <v>360796.576</v>
      </c>
      <c r="D13" s="577" t="n">
        <f aca="false">D7+D10</f>
        <v>431804.10664</v>
      </c>
      <c r="E13" s="577" t="n">
        <f aca="false">E7+E10</f>
        <v>506747.3722</v>
      </c>
      <c r="F13" s="577" t="n">
        <f aca="false">F7+F10</f>
        <v>521949.793366</v>
      </c>
      <c r="G13" s="577" t="n">
        <f aca="false">G7+G10</f>
        <v>537608.28716698</v>
      </c>
      <c r="H13" s="577" t="n">
        <f aca="false">H7+H10</f>
        <v>587605.140564235</v>
      </c>
      <c r="I13" s="577" t="n">
        <f aca="false">I7+I10</f>
        <v>605233.294781162</v>
      </c>
      <c r="J13" s="577" t="n">
        <f aca="false">J7+J10</f>
        <v>623390.293624596</v>
      </c>
      <c r="K13" s="1383" t="n">
        <f aca="false">SUM(C13:J13)</f>
        <v>4175134.86434297</v>
      </c>
    </row>
    <row r="14" customFormat="false" ht="15" hidden="false" customHeight="true" outlineLevel="0" collapsed="false">
      <c r="B14" s="1382" t="s">
        <v>4095</v>
      </c>
      <c r="C14" s="593" t="n">
        <f aca="false">C13/C7</f>
        <v>0.65017164117566</v>
      </c>
      <c r="D14" s="593" t="n">
        <f aca="false">D13/D7</f>
        <v>0.671525697417018</v>
      </c>
      <c r="E14" s="593" t="n">
        <f aca="false">E13/E7</f>
        <v>0.688608942410104</v>
      </c>
      <c r="F14" s="593" t="n">
        <f aca="false">F13/F7</f>
        <v>0.688608942410104</v>
      </c>
      <c r="G14" s="593" t="n">
        <f aca="false">G13/G7</f>
        <v>0.688608942410104</v>
      </c>
      <c r="H14" s="593" t="n">
        <f aca="false">H13/H7</f>
        <v>0.695930333121427</v>
      </c>
      <c r="I14" s="593" t="n">
        <f aca="false">I13/I7</f>
        <v>0.695930333121427</v>
      </c>
      <c r="J14" s="593" t="n">
        <f aca="false">J13/J7</f>
        <v>0.695930333121427</v>
      </c>
      <c r="K14" s="6"/>
    </row>
    <row r="15" customFormat="false" ht="15" hidden="false" customHeight="true" outlineLevel="0" collapsed="false">
      <c r="B15" s="6"/>
      <c r="K15" s="6"/>
    </row>
    <row r="16" customFormat="false" ht="15" hidden="false" customHeight="true" outlineLevel="0" collapsed="false">
      <c r="B16" s="592" t="s">
        <v>4096</v>
      </c>
      <c r="D16" s="593" t="n">
        <f aca="false">D7/C7-1</f>
        <v>0.15875</v>
      </c>
      <c r="E16" s="593" t="n">
        <f aca="false">E7/D7-1</f>
        <v>0.144444444444444</v>
      </c>
      <c r="F16" s="593" t="n">
        <f aca="false">F7/E7-1</f>
        <v>0.03</v>
      </c>
      <c r="G16" s="593" t="n">
        <f aca="false">G7/F7-1</f>
        <v>0.03</v>
      </c>
      <c r="H16" s="593" t="n">
        <f aca="false">H7/G7-1</f>
        <v>0.0815000000000001</v>
      </c>
      <c r="I16" s="593" t="n">
        <f aca="false">I7/H7-1</f>
        <v>0.03</v>
      </c>
      <c r="J16" s="593" t="n">
        <f aca="false">J7/I7-1</f>
        <v>0.03</v>
      </c>
      <c r="K16" s="6"/>
    </row>
    <row r="17" customFormat="false" ht="15" hidden="false" customHeight="true" outlineLevel="0" collapsed="false">
      <c r="B17" s="6"/>
      <c r="K17" s="6"/>
    </row>
    <row r="18" customFormat="false" ht="15" hidden="false" customHeight="true" outlineLevel="0" collapsed="false">
      <c r="B18" s="6"/>
      <c r="K18" s="6"/>
    </row>
    <row r="19" customFormat="false" ht="21.75" hidden="false" customHeight="true" outlineLevel="0" collapsed="false">
      <c r="B19" s="575" t="s">
        <v>4097</v>
      </c>
      <c r="C19" s="575"/>
      <c r="D19" s="575"/>
      <c r="E19" s="575"/>
      <c r="F19" s="575"/>
      <c r="G19" s="575"/>
      <c r="H19" s="575"/>
      <c r="I19" s="575"/>
      <c r="J19" s="575"/>
      <c r="K19" s="575"/>
    </row>
    <row r="20" customFormat="false" ht="21.75" hidden="false" customHeight="true" outlineLevel="0" collapsed="false">
      <c r="B20" s="97" t="s">
        <v>206</v>
      </c>
      <c r="C20" s="98" t="s">
        <v>393</v>
      </c>
      <c r="D20" s="98" t="s">
        <v>86</v>
      </c>
      <c r="K20" s="6"/>
    </row>
    <row r="21" customFormat="false" ht="15" hidden="false" customHeight="true" outlineLevel="0" collapsed="false">
      <c r="B21" s="113" t="s">
        <v>3457</v>
      </c>
      <c r="C21" s="544" t="n">
        <f aca="false">C7</f>
        <v>554925.12</v>
      </c>
      <c r="D21" s="634" t="s">
        <v>5933</v>
      </c>
      <c r="K21" s="6"/>
    </row>
    <row r="22" customFormat="false" ht="15" hidden="false" customHeight="true" outlineLevel="0" collapsed="false">
      <c r="B22" s="113" t="s">
        <v>3458</v>
      </c>
      <c r="C22" s="544" t="n">
        <f aca="false">F7</f>
        <v>757977.0770028</v>
      </c>
      <c r="D22" s="634" t="s">
        <v>4099</v>
      </c>
      <c r="K22" s="6"/>
    </row>
    <row r="23" customFormat="false" ht="15" hidden="false" customHeight="true" outlineLevel="0" collapsed="false">
      <c r="B23" s="113" t="s">
        <v>4100</v>
      </c>
      <c r="C23" s="544" t="n">
        <f aca="false">J7</f>
        <v>895765.371841935</v>
      </c>
      <c r="D23" s="634" t="s">
        <v>4101</v>
      </c>
      <c r="K23" s="6"/>
    </row>
    <row r="24" customFormat="false" ht="15" hidden="false" customHeight="true" outlineLevel="0" collapsed="false">
      <c r="B24" s="113" t="s">
        <v>3460</v>
      </c>
      <c r="C24" s="544" t="n">
        <f aca="false">K7</f>
        <v>6082323.40905265</v>
      </c>
      <c r="D24" s="634" t="s">
        <v>4102</v>
      </c>
      <c r="K24" s="6"/>
    </row>
    <row r="25" customFormat="false" ht="15" hidden="false" customHeight="true" outlineLevel="0" collapsed="false">
      <c r="B25" s="113" t="s">
        <v>3461</v>
      </c>
      <c r="C25" s="544" t="n">
        <f aca="false">K13</f>
        <v>4175134.86434297</v>
      </c>
      <c r="D25" s="634" t="s">
        <v>4103</v>
      </c>
      <c r="K25" s="6"/>
    </row>
    <row r="26" customFormat="false" ht="15" hidden="false" customHeight="true" outlineLevel="0" collapsed="false">
      <c r="B26" s="113" t="s">
        <v>4104</v>
      </c>
      <c r="C26" s="1288" t="n">
        <f aca="false">K13/K7</f>
        <v>0.686437498231169</v>
      </c>
      <c r="D26" s="634" t="s">
        <v>4105</v>
      </c>
      <c r="K26" s="6"/>
    </row>
    <row r="27" customFormat="false" ht="15" hidden="false" customHeight="true" outlineLevel="0" collapsed="false">
      <c r="B27" s="113" t="s">
        <v>4106</v>
      </c>
      <c r="C27" s="1288" t="n">
        <f aca="false">(J7/C7)^(1/7)-1</f>
        <v>0.0708004745979443</v>
      </c>
      <c r="D27" s="634" t="s">
        <v>4107</v>
      </c>
      <c r="K27" s="6"/>
    </row>
    <row r="28" customFormat="false" ht="15" hidden="false" customHeight="true" outlineLevel="0" collapsed="false">
      <c r="B28" s="6"/>
      <c r="K28" s="6"/>
    </row>
    <row r="29" customFormat="false" ht="15" hidden="false" customHeight="true" outlineLevel="0" collapsed="false">
      <c r="B29" s="6"/>
      <c r="K29" s="6"/>
    </row>
    <row r="30" customFormat="false" ht="21.75" hidden="false" customHeight="true" outlineLevel="0" collapsed="false">
      <c r="B30" s="304" t="s">
        <v>5934</v>
      </c>
      <c r="C30" s="304"/>
      <c r="D30" s="304"/>
      <c r="E30" s="304"/>
      <c r="F30" s="304"/>
      <c r="G30" s="304"/>
      <c r="H30" s="304"/>
      <c r="I30" s="304"/>
      <c r="J30" s="304"/>
      <c r="K30" s="304"/>
    </row>
    <row r="31" customFormat="false" ht="120" hidden="false" customHeight="true" outlineLevel="0" collapsed="false">
      <c r="B31" s="1385" t="s">
        <v>5935</v>
      </c>
      <c r="C31" s="1385"/>
      <c r="D31" s="1385"/>
      <c r="E31" s="1385"/>
      <c r="F31" s="1385"/>
      <c r="G31" s="1385"/>
      <c r="H31" s="1385"/>
      <c r="I31" s="1385"/>
      <c r="J31" s="1385"/>
      <c r="K31" s="1385"/>
    </row>
    <row r="32" customFormat="false" ht="15" hidden="false" customHeight="true" outlineLevel="0" collapsed="false">
      <c r="B32" s="1385"/>
      <c r="C32" s="1385"/>
      <c r="D32" s="1385"/>
      <c r="E32" s="1385"/>
      <c r="F32" s="1385"/>
      <c r="G32" s="1385"/>
      <c r="H32" s="1385"/>
      <c r="I32" s="1385"/>
      <c r="J32" s="1385"/>
      <c r="K32" s="1385"/>
    </row>
    <row r="33" customFormat="false" ht="15" hidden="false" customHeight="true" outlineLevel="0" collapsed="false">
      <c r="B33" s="1385"/>
      <c r="C33" s="1385"/>
      <c r="D33" s="1385"/>
      <c r="E33" s="1385"/>
      <c r="F33" s="1385"/>
      <c r="G33" s="1385"/>
      <c r="H33" s="1385"/>
      <c r="I33" s="1385"/>
      <c r="J33" s="1385"/>
      <c r="K33" s="1385"/>
    </row>
  </sheetData>
  <mergeCells count="9">
    <mergeCell ref="B2:G2"/>
    <mergeCell ref="H2:K2"/>
    <mergeCell ref="B3:K3"/>
    <mergeCell ref="B6:K6"/>
    <mergeCell ref="B9:K9"/>
    <mergeCell ref="B12:K12"/>
    <mergeCell ref="B19:K19"/>
    <mergeCell ref="B30:K30"/>
    <mergeCell ref="B31:K3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K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6629</v>
      </c>
      <c r="C2" s="88"/>
      <c r="D2" s="88"/>
      <c r="E2" s="88"/>
      <c r="F2" s="88"/>
      <c r="G2" s="88"/>
      <c r="H2" s="89" t="s">
        <v>995</v>
      </c>
      <c r="I2" s="89"/>
      <c r="J2" s="89"/>
      <c r="K2" s="89"/>
    </row>
    <row r="3" customFormat="false" ht="33.75" hidden="false" customHeight="true" outlineLevel="0" collapsed="false">
      <c r="B3" s="90" t="s">
        <v>5937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96" t="s">
        <v>4996</v>
      </c>
      <c r="C6" s="96"/>
      <c r="D6" s="96"/>
      <c r="E6" s="96"/>
      <c r="F6" s="96"/>
      <c r="G6" s="96"/>
      <c r="H6" s="96"/>
      <c r="I6" s="96"/>
      <c r="J6" s="96"/>
      <c r="K6" s="96"/>
    </row>
    <row r="7" customFormat="false" ht="15" hidden="false" customHeight="true" outlineLevel="0" collapsed="false">
      <c r="B7" s="81" t="s">
        <v>903</v>
      </c>
      <c r="C7" s="385" t="n">
        <f aca="false">'Esports · 8-Year'!C11</f>
        <v>554925.12</v>
      </c>
      <c r="D7" s="385" t="n">
        <f aca="false">'Esports · 8-Year'!D11</f>
        <v>643019.4828</v>
      </c>
      <c r="E7" s="385" t="n">
        <f aca="false">'Esports · 8-Year'!E11</f>
        <v>735900.07476</v>
      </c>
      <c r="F7" s="385" t="n">
        <f aca="false">'Esports · 8-Year'!F11</f>
        <v>757977.0770028</v>
      </c>
      <c r="G7" s="385" t="n">
        <f aca="false">'Esports · 8-Year'!G11</f>
        <v>780716.389312884</v>
      </c>
      <c r="H7" s="385" t="n">
        <f aca="false">'Esports · 8-Year'!H11</f>
        <v>844344.775041884</v>
      </c>
      <c r="I7" s="385" t="n">
        <f aca="false">'Esports · 8-Year'!I11</f>
        <v>869675.118293141</v>
      </c>
      <c r="J7" s="385" t="n">
        <f aca="false">'Esports · 8-Year'!J11</f>
        <v>895765.371841935</v>
      </c>
      <c r="K7" s="1386" t="n">
        <f aca="false">SUM(C7:J7)</f>
        <v>6082323.40905265</v>
      </c>
    </row>
    <row r="8" customFormat="false" ht="15" hidden="false" customHeight="true" outlineLevel="0" collapsed="false">
      <c r="B8" s="81" t="s">
        <v>4112</v>
      </c>
      <c r="C8" s="1294" t="n">
        <f aca="false">'Esports · 8-Year'!C20</f>
        <v>360796.576</v>
      </c>
      <c r="D8" s="1294" t="n">
        <f aca="false">'Esports · 8-Year'!D20</f>
        <v>431804.10664</v>
      </c>
      <c r="E8" s="1294" t="n">
        <f aca="false">'Esports · 8-Year'!E20</f>
        <v>506747.3722</v>
      </c>
      <c r="F8" s="1294" t="n">
        <f aca="false">'Esports · 8-Year'!F20</f>
        <v>521949.793366</v>
      </c>
      <c r="G8" s="1294" t="n">
        <f aca="false">'Esports · 8-Year'!G20</f>
        <v>537608.28716698</v>
      </c>
      <c r="H8" s="1294" t="n">
        <f aca="false">'Esports · 8-Year'!H20</f>
        <v>587605.140564235</v>
      </c>
      <c r="I8" s="1294" t="n">
        <f aca="false">'Esports · 8-Year'!I20</f>
        <v>605233.294781162</v>
      </c>
      <c r="J8" s="1294" t="n">
        <f aca="false">'Esports · 8-Year'!J20</f>
        <v>623390.293624596</v>
      </c>
      <c r="K8" s="1387" t="n">
        <f aca="false">SUM(C8:J8)</f>
        <v>4175134.86434297</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388" t="n">
        <v>0.01</v>
      </c>
      <c r="K11" s="6"/>
    </row>
    <row r="12" customFormat="false" ht="15" hidden="false" customHeight="true" outlineLevel="0" collapsed="false">
      <c r="B12" s="113" t="s">
        <v>3766</v>
      </c>
      <c r="C12" s="1389" t="n">
        <v>7</v>
      </c>
      <c r="K12" s="6"/>
    </row>
    <row r="13" customFormat="false" ht="15" hidden="false" customHeight="true" outlineLevel="0" collapsed="false">
      <c r="B13" s="113" t="s">
        <v>3768</v>
      </c>
      <c r="C13" s="1389" t="n">
        <v>15</v>
      </c>
      <c r="K13" s="6"/>
    </row>
    <row r="14" customFormat="false" ht="15" hidden="false" customHeight="true" outlineLevel="0" collapsed="false">
      <c r="B14" s="6"/>
      <c r="K14" s="6"/>
    </row>
    <row r="15" customFormat="false" ht="15" hidden="false" customHeight="true" outlineLevel="0" collapsed="false">
      <c r="B15" s="1164" t="s">
        <v>4114</v>
      </c>
      <c r="C15" s="387" t="n">
        <f aca="false">C7*$C$11</f>
        <v>5549.2512</v>
      </c>
      <c r="D15" s="387" t="n">
        <f aca="false">D7*$C$11</f>
        <v>6430.194828</v>
      </c>
      <c r="E15" s="387" t="n">
        <f aca="false">E7*$C$11</f>
        <v>7359.0007476</v>
      </c>
      <c r="F15" s="387" t="n">
        <f aca="false">F7*$C$11</f>
        <v>7579.770770028</v>
      </c>
      <c r="G15" s="387" t="n">
        <f aca="false">G7*$C$11</f>
        <v>7807.16389312884</v>
      </c>
      <c r="H15" s="387" t="n">
        <f aca="false">H7*$C$11</f>
        <v>8443.44775041884</v>
      </c>
      <c r="I15" s="387" t="n">
        <f aca="false">I7*$C$11</f>
        <v>8696.75118293141</v>
      </c>
      <c r="J15" s="387" t="n">
        <f aca="false">J7*$C$11</f>
        <v>8957.65371841935</v>
      </c>
      <c r="K15" s="6"/>
    </row>
    <row r="16" customFormat="false" ht="15" hidden="false" customHeight="true" outlineLevel="0" collapsed="false">
      <c r="B16" s="1164" t="s">
        <v>4115</v>
      </c>
      <c r="C16" s="387" t="n">
        <f aca="false">C7/365*$C$12</f>
        <v>10642.3995616438</v>
      </c>
      <c r="D16" s="387" t="n">
        <f aca="false">D7/365*$C$12</f>
        <v>12331.8804920548</v>
      </c>
      <c r="E16" s="387" t="n">
        <f aca="false">E7/365*$C$12</f>
        <v>14113.1521186849</v>
      </c>
      <c r="F16" s="387" t="n">
        <f aca="false">F7/365*$C$12</f>
        <v>14536.5466822455</v>
      </c>
      <c r="G16" s="387" t="n">
        <f aca="false">G7/365*$C$12</f>
        <v>14972.6430827128</v>
      </c>
      <c r="H16" s="387" t="n">
        <f aca="false">H7/365*$C$12</f>
        <v>16192.9134939539</v>
      </c>
      <c r="I16" s="387" t="n">
        <f aca="false">I7/365*$C$12</f>
        <v>16678.7008987726</v>
      </c>
      <c r="J16" s="387" t="n">
        <f aca="false">J7/365*$C$12</f>
        <v>17179.0619257357</v>
      </c>
      <c r="K16" s="6"/>
    </row>
    <row r="17" customFormat="false" ht="15" hidden="false" customHeight="true" outlineLevel="0" collapsed="false">
      <c r="B17" s="1164" t="s">
        <v>4116</v>
      </c>
      <c r="C17" s="387" t="n">
        <f aca="false">C7*('Esports · Costs'!C23/'Esports · Revenue'!E12)/365*$C$13</f>
        <v>7101.31726027397</v>
      </c>
      <c r="D17" s="387" t="n">
        <f aca="false">D7*('Esports · Costs'!C23/'Esports · Revenue'!E12)/365*$C$13</f>
        <v>8228.65137534246</v>
      </c>
      <c r="E17" s="387" t="n">
        <f aca="false">E7*('Esports · Costs'!C23/'Esports · Revenue'!E12)/365*$C$13</f>
        <v>9417.23435178082</v>
      </c>
      <c r="F17" s="387" t="n">
        <f aca="false">F7*('Esports · Costs'!C23/'Esports · Revenue'!E12)/365*$C$13</f>
        <v>9699.75138233425</v>
      </c>
      <c r="G17" s="387" t="n">
        <f aca="false">G7*('Esports · Costs'!C23/'Esports · Revenue'!E12)/365*$C$13</f>
        <v>9990.74392380427</v>
      </c>
      <c r="H17" s="387" t="n">
        <f aca="false">H7*('Esports · Costs'!C23/'Esports · Revenue'!E12)/365*$C$13</f>
        <v>10804.9895535943</v>
      </c>
      <c r="I17" s="387" t="n">
        <f aca="false">I7*('Esports · Costs'!C23/'Esports · Revenue'!E12)/365*$C$13</f>
        <v>11129.1392402022</v>
      </c>
      <c r="J17" s="387" t="n">
        <f aca="false">J7*('Esports · Costs'!C23/'Esports · Revenue'!E12)/365*$C$13</f>
        <v>11463.0134174082</v>
      </c>
      <c r="K17" s="6"/>
    </row>
    <row r="18" customFormat="false" ht="15" hidden="false" customHeight="true" outlineLevel="0" collapsed="false">
      <c r="B18" s="113" t="s">
        <v>4117</v>
      </c>
      <c r="C18" s="385" t="n">
        <f aca="false">C15+C16-C17</f>
        <v>9090.33350136986</v>
      </c>
      <c r="D18" s="385" t="n">
        <f aca="false">D15+D16-D17</f>
        <v>10533.4239447123</v>
      </c>
      <c r="E18" s="385" t="n">
        <f aca="false">E15+E16-E17</f>
        <v>12054.9185145041</v>
      </c>
      <c r="F18" s="385" t="n">
        <f aca="false">F15+F16-F17</f>
        <v>12416.5660699392</v>
      </c>
      <c r="G18" s="385" t="n">
        <f aca="false">G15+G16-G17</f>
        <v>12789.0630520374</v>
      </c>
      <c r="H18" s="385" t="n">
        <f aca="false">H15+H16-H17</f>
        <v>13831.3716907785</v>
      </c>
      <c r="I18" s="385" t="n">
        <f aca="false">I15+I16-I17</f>
        <v>14246.3128415018</v>
      </c>
      <c r="J18" s="385" t="n">
        <f aca="false">J15+J16-J17</f>
        <v>14673.7022267469</v>
      </c>
      <c r="K18" s="6"/>
    </row>
    <row r="19" customFormat="false" ht="15" hidden="false" customHeight="true" outlineLevel="0" collapsed="false">
      <c r="B19" s="1267" t="s">
        <v>4118</v>
      </c>
      <c r="C19" s="1292" t="n">
        <f aca="false">C18</f>
        <v>9090.33350136986</v>
      </c>
      <c r="D19" s="1292" t="n">
        <f aca="false">D18-C18</f>
        <v>1443.09044334247</v>
      </c>
      <c r="E19" s="1292" t="n">
        <f aca="false">E18-D18</f>
        <v>1521.49456979178</v>
      </c>
      <c r="F19" s="1292" t="n">
        <f aca="false">F18-E18</f>
        <v>361.647555435129</v>
      </c>
      <c r="G19" s="1292" t="n">
        <f aca="false">G18-F18</f>
        <v>372.496982098175</v>
      </c>
      <c r="H19" s="1292" t="n">
        <f aca="false">H18-G18</f>
        <v>1042.30863874105</v>
      </c>
      <c r="I19" s="1292" t="n">
        <f aca="false">I18-H18</f>
        <v>414.941150723358</v>
      </c>
      <c r="J19" s="1292" t="n">
        <f aca="false">J18-I18</f>
        <v>427.389385245051</v>
      </c>
      <c r="K19" s="6"/>
    </row>
    <row r="20" customFormat="false" ht="15" hidden="false" customHeight="true" outlineLevel="0" collapsed="false">
      <c r="B20" s="6"/>
      <c r="K20" s="6"/>
    </row>
    <row r="21" customFormat="false" ht="21.75" hidden="false" customHeight="true" outlineLevel="0" collapsed="false">
      <c r="B21" s="575" t="s">
        <v>5938</v>
      </c>
      <c r="C21" s="575"/>
      <c r="D21" s="575"/>
      <c r="E21" s="575"/>
      <c r="F21" s="575"/>
      <c r="G21" s="575"/>
      <c r="H21" s="575"/>
      <c r="I21" s="575"/>
      <c r="J21" s="575"/>
      <c r="K21" s="575"/>
    </row>
    <row r="22" customFormat="false" ht="15" hidden="false" customHeight="true" outlineLevel="0" collapsed="false">
      <c r="B22" s="126" t="s">
        <v>3771</v>
      </c>
      <c r="C22" s="1388" t="n">
        <v>0.04</v>
      </c>
      <c r="K22" s="6"/>
    </row>
    <row r="23" customFormat="false" ht="15" hidden="false" customHeight="true" outlineLevel="0" collapsed="false">
      <c r="B23" s="113" t="s">
        <v>4121</v>
      </c>
      <c r="C23" s="360" t="n">
        <f aca="false">C7*$C$22</f>
        <v>22197.0048</v>
      </c>
      <c r="D23" s="360" t="n">
        <f aca="false">D7*$C$22</f>
        <v>25720.779312</v>
      </c>
      <c r="E23" s="360" t="n">
        <f aca="false">E7*$C$22</f>
        <v>29436.0029904</v>
      </c>
      <c r="F23" s="360" t="n">
        <f aca="false">F7*$C$22</f>
        <v>30319.083080112</v>
      </c>
      <c r="G23" s="360" t="n">
        <f aca="false">G7*$C$22</f>
        <v>31228.6555725154</v>
      </c>
      <c r="H23" s="360" t="n">
        <f aca="false">H7*$C$22</f>
        <v>33773.7910016754</v>
      </c>
      <c r="I23" s="360" t="n">
        <f aca="false">I7*$C$22</f>
        <v>34787.0047317256</v>
      </c>
      <c r="J23" s="360" t="n">
        <f aca="false">J7*$C$22</f>
        <v>35830.6148736774</v>
      </c>
      <c r="K23" s="6"/>
    </row>
    <row r="24" customFormat="false" ht="15" hidden="false" customHeight="true" outlineLevel="0" collapsed="false">
      <c r="B24" s="6"/>
      <c r="K24" s="6"/>
    </row>
    <row r="25" customFormat="false" ht="33.75" hidden="false" customHeight="true" outlineLevel="0" collapsed="false">
      <c r="B25" s="104" t="s">
        <v>5939</v>
      </c>
      <c r="K25" s="6"/>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15" hidden="false" customHeight="true" outlineLevel="0" collapsed="false">
      <c r="B28" s="81" t="s">
        <v>4124</v>
      </c>
      <c r="C28" s="577" t="n">
        <f aca="false">C8-C19-C23</f>
        <v>329509.23769863</v>
      </c>
      <c r="D28" s="577" t="n">
        <f aca="false">D8-D19-D23</f>
        <v>404640.236884658</v>
      </c>
      <c r="E28" s="577" t="n">
        <f aca="false">E8-E19-E23</f>
        <v>475789.874639808</v>
      </c>
      <c r="F28" s="577" t="n">
        <f aca="false">F8-F19-F23</f>
        <v>491269.062730453</v>
      </c>
      <c r="G28" s="577" t="n">
        <f aca="false">G8-G19-G23</f>
        <v>506007.134612367</v>
      </c>
      <c r="H28" s="577" t="n">
        <f aca="false">H8-H19-H23</f>
        <v>552789.040923818</v>
      </c>
      <c r="I28" s="577" t="n">
        <f aca="false">I8-I19-I23</f>
        <v>570031.348898713</v>
      </c>
      <c r="J28" s="577" t="n">
        <f aca="false">J8-J19-J23</f>
        <v>587132.289365674</v>
      </c>
      <c r="K28" s="1383" t="n">
        <f aca="false">SUM(C28:J28)</f>
        <v>3917168.22575412</v>
      </c>
    </row>
    <row r="29" customFormat="false" ht="15" hidden="false" customHeight="true" outlineLevel="0" collapsed="false">
      <c r="B29" s="1382" t="s">
        <v>5940</v>
      </c>
      <c r="C29" s="593" t="n">
        <f aca="false">C28/C8</f>
        <v>0.913282607478598</v>
      </c>
      <c r="D29" s="593" t="n">
        <f aca="false">D28/D8</f>
        <v>0.93709214586514</v>
      </c>
      <c r="E29" s="593" t="n">
        <f aca="false">E28/E8</f>
        <v>0.938909406819827</v>
      </c>
      <c r="F29" s="593" t="n">
        <f aca="false">F28/F8</f>
        <v>0.941219000322444</v>
      </c>
      <c r="G29" s="593" t="n">
        <f aca="false">G28/G8</f>
        <v>0.941219000322444</v>
      </c>
      <c r="H29" s="593" t="n">
        <f aca="false">H28/H8</f>
        <v>0.940749157492079</v>
      </c>
      <c r="I29" s="593" t="n">
        <f aca="false">I28/I8</f>
        <v>0.941837393636486</v>
      </c>
      <c r="J29" s="593" t="n">
        <f aca="false">J28/J8</f>
        <v>0.941837393636487</v>
      </c>
      <c r="K29" s="6"/>
    </row>
    <row r="30" customFormat="false" ht="15" hidden="false" customHeight="true" outlineLevel="0" collapsed="false">
      <c r="B30" s="6"/>
      <c r="K30" s="6"/>
    </row>
    <row r="31" customFormat="false" ht="15" hidden="false" customHeight="true" outlineLevel="0" collapsed="false">
      <c r="B31" s="1164" t="s">
        <v>4126</v>
      </c>
      <c r="C31" s="387" t="n">
        <f aca="false">C28</f>
        <v>329509.23769863</v>
      </c>
      <c r="D31" s="387" t="n">
        <f aca="false">C31+D28</f>
        <v>734149.474583288</v>
      </c>
      <c r="E31" s="387" t="n">
        <f aca="false">D31+E28</f>
        <v>1209939.3492231</v>
      </c>
      <c r="F31" s="387" t="n">
        <f aca="false">E31+F28</f>
        <v>1701208.41195355</v>
      </c>
      <c r="G31" s="387" t="n">
        <f aca="false">F31+G28</f>
        <v>2207215.54656592</v>
      </c>
      <c r="H31" s="387" t="n">
        <f aca="false">G31+H28</f>
        <v>2760004.58748973</v>
      </c>
      <c r="I31" s="387" t="n">
        <f aca="false">H31+I28</f>
        <v>3330035.93638845</v>
      </c>
      <c r="J31" s="387" t="n">
        <f aca="false">I31+J28</f>
        <v>3917168.22575412</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21.75" hidden="false" customHeight="true" outlineLevel="0" collapsed="false">
      <c r="B35" s="97" t="s">
        <v>206</v>
      </c>
      <c r="C35" s="98" t="s">
        <v>393</v>
      </c>
      <c r="D35" s="98" t="s">
        <v>225</v>
      </c>
      <c r="K35" s="6"/>
    </row>
    <row r="36" customFormat="false" ht="15" hidden="false" customHeight="true" outlineLevel="0" collapsed="false">
      <c r="B36" s="113" t="s">
        <v>4128</v>
      </c>
      <c r="C36" s="544" t="n">
        <f aca="false">C28</f>
        <v>329509.23769863</v>
      </c>
      <c r="D36" s="634" t="s">
        <v>4129</v>
      </c>
      <c r="K36" s="6"/>
    </row>
    <row r="37" customFormat="false" ht="15" hidden="false" customHeight="true" outlineLevel="0" collapsed="false">
      <c r="B37" s="113" t="s">
        <v>4130</v>
      </c>
      <c r="C37" s="544" t="n">
        <f aca="false">F28</f>
        <v>491269.062730453</v>
      </c>
      <c r="D37" s="634" t="s">
        <v>4131</v>
      </c>
      <c r="K37" s="6"/>
    </row>
    <row r="38" customFormat="false" ht="15" hidden="false" customHeight="true" outlineLevel="0" collapsed="false">
      <c r="B38" s="113" t="s">
        <v>4132</v>
      </c>
      <c r="C38" s="544" t="n">
        <f aca="false">K28</f>
        <v>3917168.22575412</v>
      </c>
      <c r="D38" s="634" t="s">
        <v>4133</v>
      </c>
      <c r="K38" s="6"/>
    </row>
    <row r="39" customFormat="false" ht="15" hidden="false" customHeight="true" outlineLevel="0" collapsed="false">
      <c r="B39" s="113" t="s">
        <v>4134</v>
      </c>
      <c r="C39" s="1288" t="n">
        <f aca="false">K28/K8</f>
        <v>0.938213579448182</v>
      </c>
      <c r="D39" s="634" t="s">
        <v>5941</v>
      </c>
      <c r="K39" s="6"/>
    </row>
  </sheetData>
  <mergeCells count="8">
    <mergeCell ref="B2:G2"/>
    <mergeCell ref="H2:K2"/>
    <mergeCell ref="B3:K3"/>
    <mergeCell ref="B6:K6"/>
    <mergeCell ref="B10:K10"/>
    <mergeCell ref="B21:K21"/>
    <mergeCell ref="B27:K27"/>
    <mergeCell ref="B34:K3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6630</v>
      </c>
      <c r="C2" s="878"/>
      <c r="D2" s="878"/>
      <c r="E2" s="878"/>
      <c r="F2" s="878"/>
      <c r="G2" s="89" t="s">
        <v>3432</v>
      </c>
      <c r="H2" s="89"/>
      <c r="I2" s="89"/>
      <c r="J2" s="89"/>
    </row>
    <row r="3" customFormat="false" ht="33.75" hidden="false" customHeight="true" outlineLevel="0" collapsed="false">
      <c r="B3" s="90" t="s">
        <v>6631</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6632</v>
      </c>
      <c r="C5" s="575"/>
      <c r="D5" s="575"/>
      <c r="E5" s="575"/>
      <c r="F5" s="575"/>
      <c r="G5" s="575"/>
      <c r="H5" s="575"/>
    </row>
    <row r="6" customFormat="false" ht="18" hidden="false" customHeight="true" outlineLevel="0" collapsed="false">
      <c r="B6" s="113" t="s">
        <v>6633</v>
      </c>
      <c r="C6" s="1301" t="n">
        <f aca="false">'Esports · Drivers'!C24</f>
        <v>60</v>
      </c>
      <c r="D6" s="565" t="s">
        <v>6634</v>
      </c>
      <c r="E6" s="6"/>
    </row>
    <row r="7" customFormat="false" ht="18" hidden="false" customHeight="true" outlineLevel="0" collapsed="false">
      <c r="B7" s="113" t="s">
        <v>6635</v>
      </c>
      <c r="C7" s="406" t="n">
        <f aca="false">'Esports · Revenue'!E12/C6</f>
        <v>11560.94</v>
      </c>
      <c r="D7" s="565" t="s">
        <v>6636</v>
      </c>
      <c r="E7" s="6"/>
    </row>
    <row r="8" customFormat="false" ht="18" hidden="false" customHeight="true" outlineLevel="0" collapsed="false">
      <c r="B8" s="113" t="s">
        <v>6637</v>
      </c>
      <c r="C8" s="406" t="n">
        <f aca="false">'Esports · Costs'!C23/C6</f>
        <v>3599.97333333333</v>
      </c>
      <c r="D8" s="565" t="s">
        <v>6638</v>
      </c>
      <c r="E8" s="6"/>
    </row>
    <row r="9" customFormat="false" ht="18" hidden="false" customHeight="true" outlineLevel="0" collapsed="false">
      <c r="B9" s="113" t="s">
        <v>6639</v>
      </c>
      <c r="C9" s="406" t="n">
        <f aca="false">C7-C8</f>
        <v>7960.96666666667</v>
      </c>
      <c r="D9" s="565" t="s">
        <v>6640</v>
      </c>
      <c r="E9" s="6"/>
    </row>
    <row r="10" customFormat="false" ht="15" hidden="false" customHeight="true" outlineLevel="0" collapsed="false">
      <c r="B10" s="6"/>
      <c r="E10" s="6"/>
    </row>
    <row r="11" customFormat="false" ht="21.75" hidden="false" customHeight="true" outlineLevel="0" collapsed="false">
      <c r="B11" s="575" t="s">
        <v>6641</v>
      </c>
      <c r="C11" s="575"/>
      <c r="D11" s="575"/>
      <c r="E11" s="575"/>
      <c r="F11" s="575"/>
      <c r="G11" s="575"/>
      <c r="H11" s="575"/>
    </row>
    <row r="12" customFormat="false" ht="18" hidden="false" customHeight="true" outlineLevel="0" collapsed="false">
      <c r="B12" s="113" t="s">
        <v>6642</v>
      </c>
      <c r="C12" s="1282" t="n">
        <f aca="false">'Esports · Drivers'!C42*12</f>
        <v>85536</v>
      </c>
      <c r="D12" s="565" t="s">
        <v>6643</v>
      </c>
      <c r="E12" s="6"/>
    </row>
    <row r="13" customFormat="false" ht="18" hidden="false" customHeight="true" outlineLevel="0" collapsed="false">
      <c r="B13" s="113" t="s">
        <v>6644</v>
      </c>
      <c r="C13" s="1282" t="n">
        <f aca="false">'Esports · Drivers'!C44*12</f>
        <v>51936</v>
      </c>
      <c r="D13" s="565" t="s">
        <v>6645</v>
      </c>
      <c r="E13" s="6"/>
    </row>
    <row r="14" customFormat="false" ht="18" hidden="false" customHeight="true" outlineLevel="0" collapsed="false">
      <c r="B14" s="113" t="s">
        <v>6646</v>
      </c>
      <c r="C14" s="1282" t="n">
        <f aca="false">'Esports · Drivers'!C43*12</f>
        <v>33600</v>
      </c>
      <c r="D14" s="565" t="s">
        <v>6647</v>
      </c>
      <c r="E14" s="6"/>
    </row>
    <row r="15" customFormat="false" ht="18" hidden="false" customHeight="true" outlineLevel="0" collapsed="false">
      <c r="B15" s="126" t="s">
        <v>6648</v>
      </c>
      <c r="C15" s="1438" t="n">
        <f aca="false">'Esports · Revenue'!E12/C12</f>
        <v>8.10952581369248</v>
      </c>
      <c r="D15" s="565" t="s">
        <v>6649</v>
      </c>
      <c r="E15" s="6"/>
    </row>
    <row r="16" customFormat="false" ht="18" hidden="false" customHeight="true" outlineLevel="0" collapsed="false">
      <c r="B16" s="126" t="s">
        <v>6650</v>
      </c>
      <c r="C16" s="1438" t="n">
        <f aca="false">'Esports · Costs'!C23/C12</f>
        <v>2.52523381967826</v>
      </c>
      <c r="D16" s="565" t="s">
        <v>6651</v>
      </c>
      <c r="E16" s="6"/>
    </row>
    <row r="17" customFormat="false" ht="18" hidden="false" customHeight="true" outlineLevel="0" collapsed="false">
      <c r="B17" s="1076" t="s">
        <v>6652</v>
      </c>
      <c r="C17" s="1439" t="n">
        <f aca="false">C15-C16</f>
        <v>5.58429199401422</v>
      </c>
      <c r="D17" s="565" t="s">
        <v>6653</v>
      </c>
      <c r="E17" s="6"/>
    </row>
    <row r="18" customFormat="false" ht="15" hidden="false" customHeight="true" outlineLevel="0" collapsed="false">
      <c r="B18" s="6"/>
      <c r="E18" s="6"/>
    </row>
    <row r="19" customFormat="false" ht="21.75" hidden="false" customHeight="true" outlineLevel="0" collapsed="false">
      <c r="B19" s="575" t="s">
        <v>5029</v>
      </c>
      <c r="C19" s="575"/>
      <c r="D19" s="575"/>
      <c r="E19" s="575"/>
      <c r="F19" s="575"/>
      <c r="G19" s="575"/>
      <c r="H19" s="575"/>
    </row>
    <row r="20" customFormat="false" ht="18" hidden="false" customHeight="true" outlineLevel="0" collapsed="false">
      <c r="B20" s="113" t="s">
        <v>6654</v>
      </c>
      <c r="C20" s="1282" t="n">
        <f aca="false">'Esports · Drivers'!C41*12</f>
        <v>259200</v>
      </c>
      <c r="D20" s="565" t="s">
        <v>6655</v>
      </c>
      <c r="E20" s="6"/>
    </row>
    <row r="21" customFormat="false" ht="18" hidden="false" customHeight="true" outlineLevel="0" collapsed="false">
      <c r="B21" s="81" t="s">
        <v>6656</v>
      </c>
      <c r="C21" s="1393" t="n">
        <f aca="false">'Esports · Drivers'!C27</f>
        <v>0.33</v>
      </c>
      <c r="D21" s="565" t="s">
        <v>6657</v>
      </c>
      <c r="E21" s="6"/>
    </row>
    <row r="22" customFormat="false" ht="18" hidden="false" customHeight="true" outlineLevel="0" collapsed="false">
      <c r="B22" s="126" t="s">
        <v>6658</v>
      </c>
      <c r="C22" s="1282" t="n">
        <f aca="false">C20-C12</f>
        <v>173664</v>
      </c>
      <c r="D22" s="565" t="s">
        <v>6659</v>
      </c>
      <c r="E22" s="6"/>
    </row>
    <row r="23" customFormat="false" ht="15" hidden="false" customHeight="true" outlineLevel="0" collapsed="false">
      <c r="B23" s="6"/>
      <c r="E23" s="6"/>
    </row>
    <row r="24" customFormat="false" ht="21.75" hidden="false" customHeight="true" outlineLevel="0" collapsed="false">
      <c r="B24" s="575" t="s">
        <v>6660</v>
      </c>
      <c r="C24" s="575"/>
      <c r="D24" s="575"/>
      <c r="E24" s="575"/>
      <c r="F24" s="575"/>
      <c r="G24" s="575"/>
      <c r="H24" s="575"/>
    </row>
    <row r="25" customFormat="false" ht="18" hidden="false" customHeight="true" outlineLevel="0" collapsed="false">
      <c r="B25" s="113" t="s">
        <v>6359</v>
      </c>
      <c r="C25" s="1301" t="n">
        <f aca="false">'Esports · Drivers'!C31</f>
        <v>140</v>
      </c>
      <c r="D25" s="565" t="s">
        <v>6661</v>
      </c>
      <c r="E25" s="6"/>
    </row>
    <row r="26" customFormat="false" ht="18" hidden="false" customHeight="true" outlineLevel="0" collapsed="false">
      <c r="B26" s="113" t="s">
        <v>6662</v>
      </c>
      <c r="C26" s="406" t="n">
        <f aca="false">'Esports · Drivers'!C32</f>
        <v>30</v>
      </c>
      <c r="D26" s="565" t="s">
        <v>6224</v>
      </c>
      <c r="E26" s="6"/>
    </row>
    <row r="27" customFormat="false" ht="18" hidden="false" customHeight="true" outlineLevel="0" collapsed="false">
      <c r="B27" s="126" t="s">
        <v>6663</v>
      </c>
      <c r="C27" s="406" t="n">
        <f aca="false">C26*12</f>
        <v>360</v>
      </c>
      <c r="D27" s="565" t="s">
        <v>6664</v>
      </c>
      <c r="E27" s="6"/>
    </row>
    <row r="28" customFormat="false" ht="18" hidden="false" customHeight="true" outlineLevel="0" collapsed="false">
      <c r="B28" s="126" t="s">
        <v>6665</v>
      </c>
      <c r="C28" s="406" t="n">
        <f aca="false">'Esports · Revenue'!E9/C25</f>
        <v>945</v>
      </c>
      <c r="D28" s="565" t="s">
        <v>6666</v>
      </c>
      <c r="E28" s="6"/>
    </row>
    <row r="29" customFormat="false" ht="18" hidden="false" customHeight="true" outlineLevel="0" collapsed="false">
      <c r="B29" s="1076" t="s">
        <v>6667</v>
      </c>
      <c r="C29" s="1390" t="n">
        <f aca="false">C27+C28</f>
        <v>1305</v>
      </c>
      <c r="D29" s="565" t="s">
        <v>6668</v>
      </c>
      <c r="E29" s="6"/>
    </row>
    <row r="30" customFormat="false" ht="15" hidden="false" customHeight="true" outlineLevel="0" collapsed="false">
      <c r="B30" s="6"/>
      <c r="E30" s="6"/>
    </row>
    <row r="31" customFormat="false" ht="21.75" hidden="false" customHeight="true" outlineLevel="0" collapsed="false">
      <c r="B31" s="575" t="s">
        <v>5037</v>
      </c>
      <c r="C31" s="575"/>
      <c r="D31" s="575"/>
      <c r="E31" s="575"/>
      <c r="F31" s="575"/>
      <c r="G31" s="575"/>
      <c r="H31" s="575"/>
    </row>
    <row r="32" customFormat="false" ht="18" hidden="false" customHeight="true" outlineLevel="0" collapsed="false">
      <c r="B32" s="81" t="s">
        <v>5038</v>
      </c>
      <c r="C32" s="1390" t="n">
        <f aca="false">'Esports · Revenue'!E12</f>
        <v>693656.4</v>
      </c>
      <c r="D32" s="565" t="s">
        <v>6669</v>
      </c>
      <c r="E32" s="6"/>
    </row>
    <row r="33" customFormat="false" ht="18" hidden="false" customHeight="true" outlineLevel="0" collapsed="false">
      <c r="B33" s="113" t="s">
        <v>4973</v>
      </c>
      <c r="C33" s="406" t="n">
        <f aca="false">'Esports · Costs'!C23</f>
        <v>215998.4</v>
      </c>
      <c r="D33" s="565" t="s">
        <v>6670</v>
      </c>
      <c r="E33" s="6"/>
    </row>
    <row r="34" customFormat="false" ht="18" hidden="false" customHeight="true" outlineLevel="0" collapsed="false">
      <c r="B34" s="1076" t="s">
        <v>6671</v>
      </c>
      <c r="C34" s="1390" t="n">
        <f aca="false">'Esports · Costs'!C36</f>
        <v>477658</v>
      </c>
      <c r="D34" s="565" t="s">
        <v>5041</v>
      </c>
      <c r="E34" s="6"/>
    </row>
    <row r="35" customFormat="false" ht="18" hidden="false" customHeight="true" outlineLevel="0" collapsed="false">
      <c r="B35" s="81" t="s">
        <v>4095</v>
      </c>
      <c r="C35" s="1393" t="n">
        <f aca="false">C34/C32</f>
        <v>0.688608942410104</v>
      </c>
      <c r="D35" s="565" t="s">
        <v>6672</v>
      </c>
      <c r="E35" s="6"/>
    </row>
  </sheetData>
  <mergeCells count="8">
    <mergeCell ref="B2:F2"/>
    <mergeCell ref="G2:J2"/>
    <mergeCell ref="B3:J3"/>
    <mergeCell ref="B5:H5"/>
    <mergeCell ref="B11:H11"/>
    <mergeCell ref="B19:H19"/>
    <mergeCell ref="B24:H24"/>
    <mergeCell ref="B31:H3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6673</v>
      </c>
      <c r="C3" s="90"/>
      <c r="D3" s="90"/>
      <c r="E3" s="90"/>
      <c r="F3" s="90"/>
      <c r="G3" s="90"/>
      <c r="H3" s="90"/>
      <c r="I3" s="90"/>
      <c r="J3" s="90"/>
    </row>
    <row r="4" customFormat="false" ht="15" hidden="false" customHeight="true" outlineLevel="0" collapsed="false">
      <c r="B4" s="6"/>
      <c r="E4" s="6"/>
    </row>
    <row r="5" customFormat="false" ht="33.75" hidden="false" customHeight="true" outlineLevel="0" collapsed="false">
      <c r="B5" s="96" t="s">
        <v>5050</v>
      </c>
      <c r="C5" s="96"/>
      <c r="D5" s="96"/>
      <c r="E5" s="96"/>
      <c r="F5" s="96"/>
      <c r="G5" s="96"/>
      <c r="H5" s="96"/>
    </row>
    <row r="6" customFormat="false" ht="15" hidden="false" customHeight="true" outlineLevel="0" collapsed="false">
      <c r="B6" s="6"/>
      <c r="E6" s="6"/>
    </row>
    <row r="7" customFormat="false" ht="18" hidden="false" customHeight="true" outlineLevel="0" collapsed="false">
      <c r="B7" s="126" t="s">
        <v>6674</v>
      </c>
      <c r="C7" s="1299" t="n">
        <f aca="false">'Esports · Costs'!C26</f>
        <v>106649.12</v>
      </c>
      <c r="D7" s="565" t="s">
        <v>5051</v>
      </c>
      <c r="E7" s="6"/>
    </row>
    <row r="8" customFormat="false" ht="18" hidden="false" customHeight="true" outlineLevel="0" collapsed="false">
      <c r="B8" s="113" t="s">
        <v>5052</v>
      </c>
      <c r="C8" s="1300" t="n">
        <f aca="false">'Esports · Costs'!C29</f>
        <v>0.15764185265212</v>
      </c>
      <c r="D8" s="565" t="s">
        <v>5053</v>
      </c>
      <c r="E8" s="6"/>
    </row>
    <row r="9" customFormat="false" ht="18" hidden="false" customHeight="true" outlineLevel="0" collapsed="false">
      <c r="B9" s="113" t="s">
        <v>5054</v>
      </c>
      <c r="C9" s="1300" t="n">
        <f aca="false">1-C8</f>
        <v>0.84235814734788</v>
      </c>
      <c r="D9" s="565" t="s">
        <v>5055</v>
      </c>
      <c r="E9" s="6"/>
    </row>
    <row r="10" customFormat="false" ht="15" hidden="false" customHeight="true" outlineLevel="0" collapsed="false">
      <c r="B10" s="6"/>
      <c r="E10" s="6"/>
    </row>
    <row r="11" customFormat="false" ht="18" hidden="false" customHeight="true" outlineLevel="0" collapsed="false">
      <c r="B11" s="81" t="s">
        <v>5056</v>
      </c>
      <c r="C11" s="406" t="n">
        <f aca="false">C7/C9</f>
        <v>126607.809677842</v>
      </c>
      <c r="D11" s="565" t="s">
        <v>5057</v>
      </c>
      <c r="E11" s="6"/>
    </row>
    <row r="12" customFormat="false" ht="18" hidden="false" customHeight="true" outlineLevel="0" collapsed="false">
      <c r="B12" s="113" t="s">
        <v>5058</v>
      </c>
      <c r="C12" s="1299" t="n">
        <f aca="false">'Esports · Revenue'!E12</f>
        <v>693656.4</v>
      </c>
      <c r="D12" s="565" t="s">
        <v>6657</v>
      </c>
      <c r="E12" s="6"/>
    </row>
    <row r="13" customFormat="false" ht="18" hidden="false" customHeight="true" outlineLevel="0" collapsed="false">
      <c r="B13" s="113" t="s">
        <v>5060</v>
      </c>
      <c r="C13" s="1300" t="n">
        <f aca="false">C12/C11-1</f>
        <v>4.4787805093938</v>
      </c>
      <c r="D13" s="565" t="s">
        <v>6675</v>
      </c>
      <c r="E13" s="6"/>
    </row>
    <row r="14" customFormat="false" ht="15" hidden="false" customHeight="true" outlineLevel="0" collapsed="false">
      <c r="B14" s="6"/>
      <c r="E14" s="6"/>
    </row>
    <row r="15" customFormat="false" ht="21.75" hidden="false" customHeight="true" outlineLevel="0" collapsed="false">
      <c r="B15" s="96" t="s">
        <v>6676</v>
      </c>
      <c r="C15" s="96"/>
      <c r="D15" s="96"/>
      <c r="E15" s="96"/>
      <c r="F15" s="96"/>
      <c r="G15" s="96"/>
      <c r="H15" s="96"/>
    </row>
    <row r="16" customFormat="false" ht="18" hidden="false" customHeight="true" outlineLevel="0" collapsed="false">
      <c r="B16" s="126" t="s">
        <v>6648</v>
      </c>
      <c r="C16" s="1440" t="n">
        <f aca="false">'Esports · Unit Economics'!C15</f>
        <v>8.10952581369248</v>
      </c>
      <c r="D16" s="565" t="s">
        <v>5063</v>
      </c>
      <c r="E16" s="6"/>
    </row>
    <row r="17" customFormat="false" ht="18" hidden="false" customHeight="true" outlineLevel="0" collapsed="false">
      <c r="B17" s="81" t="s">
        <v>6677</v>
      </c>
      <c r="C17" s="1282" t="n">
        <f aca="false">C11/C16</f>
        <v>15612.2333890438</v>
      </c>
      <c r="D17" s="565" t="s">
        <v>6678</v>
      </c>
      <c r="E17" s="6"/>
    </row>
    <row r="18" customFormat="false" ht="18" hidden="false" customHeight="true" outlineLevel="0" collapsed="false">
      <c r="B18" s="113" t="s">
        <v>6654</v>
      </c>
      <c r="C18" s="1441" t="n">
        <f aca="false">'Esports · Drivers'!C41*12</f>
        <v>259200</v>
      </c>
      <c r="D18" s="565" t="s">
        <v>6679</v>
      </c>
      <c r="E18" s="6"/>
    </row>
    <row r="19" customFormat="false" ht="18" hidden="false" customHeight="true" outlineLevel="0" collapsed="false">
      <c r="B19" s="81" t="s">
        <v>6680</v>
      </c>
      <c r="C19" s="1223" t="n">
        <f aca="false">C17/C18</f>
        <v>0.060232381902175</v>
      </c>
      <c r="D19" s="565" t="s">
        <v>6681</v>
      </c>
      <c r="E19" s="6"/>
    </row>
    <row r="20" customFormat="false" ht="18" hidden="false" customHeight="true" outlineLevel="0" collapsed="false">
      <c r="B20" s="113" t="s">
        <v>6682</v>
      </c>
      <c r="C20" s="1300" t="n">
        <f aca="false">'Esports · Drivers'!C27</f>
        <v>0.33</v>
      </c>
      <c r="D20" s="565" t="s">
        <v>6683</v>
      </c>
      <c r="E20" s="6"/>
    </row>
    <row r="21" customFormat="false" ht="18" hidden="false" customHeight="true" outlineLevel="0" collapsed="false">
      <c r="B21" s="1076" t="s">
        <v>6684</v>
      </c>
      <c r="C21" s="1223" t="n">
        <f aca="false">C20-C19</f>
        <v>0.269767618097825</v>
      </c>
      <c r="D21" s="565" t="s">
        <v>6685</v>
      </c>
      <c r="E21" s="6"/>
    </row>
    <row r="22" customFormat="false" ht="15" hidden="false" customHeight="true" outlineLevel="0" collapsed="false">
      <c r="B22" s="6"/>
      <c r="E22" s="6"/>
    </row>
    <row r="23" customFormat="false" ht="78.75" hidden="false" customHeight="true" outlineLevel="0" collapsed="false">
      <c r="B23" s="1394" t="s">
        <v>6686</v>
      </c>
      <c r="C23" s="1394"/>
      <c r="D23" s="1394"/>
      <c r="E23" s="6"/>
    </row>
  </sheetData>
  <mergeCells count="6">
    <mergeCell ref="B2:F2"/>
    <mergeCell ref="G2:J2"/>
    <mergeCell ref="B3:J3"/>
    <mergeCell ref="B5:H5"/>
    <mergeCell ref="B15:H15"/>
    <mergeCell ref="B23:D2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19"/>
    <col collapsed="false" customWidth="true" hidden="false" outlineLevel="0" max="11" min="8" style="0" width="12"/>
  </cols>
  <sheetData>
    <row r="1" customFormat="false" ht="3.75" hidden="false" customHeight="true" outlineLevel="0" collapsed="false">
      <c r="B1" s="1"/>
      <c r="C1" s="2"/>
      <c r="D1" s="2"/>
      <c r="E1" s="2"/>
      <c r="F1" s="1"/>
      <c r="G1" s="2"/>
    </row>
    <row r="2" customFormat="false" ht="27.75" hidden="false" customHeight="true" outlineLevel="0" collapsed="false">
      <c r="B2" s="88" t="s">
        <v>6687</v>
      </c>
      <c r="C2" s="88"/>
      <c r="D2" s="88"/>
      <c r="E2" s="88"/>
      <c r="F2" s="1023" t="s">
        <v>995</v>
      </c>
      <c r="G2" s="1023"/>
    </row>
    <row r="3" customFormat="false" ht="33.75" hidden="false" customHeight="true" outlineLevel="0" collapsed="false">
      <c r="B3" s="90" t="s">
        <v>5994</v>
      </c>
      <c r="C3" s="90"/>
      <c r="D3" s="90"/>
      <c r="E3" s="90"/>
      <c r="F3" s="90"/>
      <c r="G3" s="90"/>
    </row>
    <row r="4" customFormat="false" ht="15" hidden="false" customHeight="true" outlineLevel="0" collapsed="false">
      <c r="B4" s="6"/>
      <c r="F4" s="6"/>
    </row>
    <row r="5" customFormat="false" ht="21.75" hidden="false" customHeight="true" outlineLevel="0" collapsed="false">
      <c r="B5" s="96" t="s">
        <v>5995</v>
      </c>
      <c r="C5" s="96"/>
      <c r="D5" s="96"/>
      <c r="E5" s="96"/>
      <c r="F5" s="96"/>
      <c r="G5" s="96"/>
    </row>
    <row r="6" customFormat="false" ht="21.75" hidden="false" customHeight="true" outlineLevel="0" collapsed="false">
      <c r="B6" s="97" t="s">
        <v>3445</v>
      </c>
      <c r="C6" s="98" t="s">
        <v>5996</v>
      </c>
      <c r="D6" s="98" t="s">
        <v>5073</v>
      </c>
      <c r="E6" s="98" t="s">
        <v>4241</v>
      </c>
      <c r="F6" s="99" t="s">
        <v>4242</v>
      </c>
      <c r="G6" s="98" t="s">
        <v>778</v>
      </c>
    </row>
    <row r="7" customFormat="false" ht="15" hidden="false" customHeight="true" outlineLevel="0" collapsed="false">
      <c r="B7" s="113" t="s">
        <v>6688</v>
      </c>
      <c r="C7" s="567" t="n">
        <f aca="false">'Esports · Drivers'!D7*350</f>
        <v>21000</v>
      </c>
      <c r="D7" s="480" t="n">
        <f aca="false">'Esports · Drivers'!D7*350</f>
        <v>21000</v>
      </c>
      <c r="E7" s="740" t="n">
        <f aca="false">IFERROR(D7/C7,0)</f>
        <v>1</v>
      </c>
      <c r="F7" s="1395" t="n">
        <f aca="false">IFERROR(1-E7,0)</f>
        <v>0</v>
      </c>
      <c r="G7" s="634" t="s">
        <v>6689</v>
      </c>
    </row>
    <row r="8" customFormat="false" ht="15" hidden="false" customHeight="true" outlineLevel="0" collapsed="false">
      <c r="B8" s="113" t="s">
        <v>6690</v>
      </c>
      <c r="C8" s="567" t="n">
        <f aca="false">'Esports · Drivers'!D14</f>
        <v>140</v>
      </c>
      <c r="D8" s="480" t="n">
        <f aca="false">'Esports · Drivers'!D14</f>
        <v>140</v>
      </c>
      <c r="E8" s="740" t="n">
        <f aca="false">IFERROR(D8/C8,0)</f>
        <v>1</v>
      </c>
      <c r="F8" s="1395" t="n">
        <f aca="false">IFERROR(1-E8,0)</f>
        <v>0</v>
      </c>
      <c r="G8" s="634" t="s">
        <v>6691</v>
      </c>
    </row>
    <row r="9" customFormat="false" ht="15" hidden="false" customHeight="true" outlineLevel="0" collapsed="false">
      <c r="B9" s="113" t="s">
        <v>6692</v>
      </c>
      <c r="C9" s="567" t="n">
        <f aca="false">24</f>
        <v>24</v>
      </c>
      <c r="D9" s="480" t="n">
        <f aca="false">24</f>
        <v>24</v>
      </c>
      <c r="E9" s="740" t="n">
        <f aca="false">IFERROR(D9/C9,0)</f>
        <v>1</v>
      </c>
      <c r="F9" s="1395" t="n">
        <f aca="false">IFERROR(1-E9,0)</f>
        <v>0</v>
      </c>
      <c r="G9" s="634" t="s">
        <v>6693</v>
      </c>
    </row>
    <row r="10" customFormat="false" ht="15" hidden="false" customHeight="true" outlineLevel="0" collapsed="false">
      <c r="B10" s="113" t="s">
        <v>6694</v>
      </c>
      <c r="C10" s="567" t="n">
        <f aca="false">12</f>
        <v>12</v>
      </c>
      <c r="D10" s="480" t="n">
        <f aca="false">12</f>
        <v>12</v>
      </c>
      <c r="E10" s="740" t="n">
        <f aca="false">IFERROR(D10/C10,0)</f>
        <v>1</v>
      </c>
      <c r="F10" s="1395" t="n">
        <f aca="false">IFERROR(1-E10,0)</f>
        <v>0</v>
      </c>
      <c r="G10" s="634" t="s">
        <v>6695</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1.75" hidden="false" customHeight="true" outlineLevel="0" collapsed="false">
      <c r="B13" s="97" t="s">
        <v>738</v>
      </c>
      <c r="C13" s="98" t="s">
        <v>4247</v>
      </c>
      <c r="D13" s="98" t="s">
        <v>3446</v>
      </c>
      <c r="E13" s="98" t="s">
        <v>4249</v>
      </c>
      <c r="F13" s="99" t="s">
        <v>778</v>
      </c>
    </row>
    <row r="14" customFormat="false" ht="15" hidden="false" customHeight="true" outlineLevel="0" collapsed="false">
      <c r="B14" s="113" t="s">
        <v>4250</v>
      </c>
      <c r="C14" s="1396" t="n">
        <v>1</v>
      </c>
      <c r="D14" s="606" t="n">
        <f aca="false">'Esports · Revenue'!E12</f>
        <v>693656.4</v>
      </c>
      <c r="E14" s="706" t="s">
        <v>672</v>
      </c>
      <c r="F14" s="592" t="s">
        <v>4251</v>
      </c>
    </row>
    <row r="15" customFormat="false" ht="15" hidden="false" customHeight="true" outlineLevel="0" collapsed="false">
      <c r="B15" s="113" t="s">
        <v>6005</v>
      </c>
      <c r="C15" s="1396" t="n">
        <v>1.25</v>
      </c>
      <c r="D15" s="648" t="n">
        <f aca="false">'Esports · Revenue'!E12*1.25</f>
        <v>867070.5</v>
      </c>
      <c r="E15" s="1397" t="n">
        <f aca="false">D15/D14-1</f>
        <v>0.25</v>
      </c>
      <c r="F15" s="592" t="s">
        <v>6006</v>
      </c>
    </row>
    <row r="16" customFormat="false" ht="15" hidden="false" customHeight="true" outlineLevel="0" collapsed="false">
      <c r="B16" s="113" t="s">
        <v>6007</v>
      </c>
      <c r="C16" s="1396" t="n">
        <v>1.5</v>
      </c>
      <c r="D16" s="648" t="n">
        <f aca="false">'Esports · Revenue'!E12*1.5</f>
        <v>1040484.6</v>
      </c>
      <c r="E16" s="1397" t="n">
        <f aca="false">D16/D14-1</f>
        <v>0.5</v>
      </c>
      <c r="F16" s="592" t="s">
        <v>6008</v>
      </c>
    </row>
    <row r="17" customFormat="false" ht="15" hidden="false" customHeight="true" outlineLevel="0" collapsed="false">
      <c r="B17" s="113" t="s">
        <v>6009</v>
      </c>
      <c r="C17" s="1396" t="n">
        <v>2</v>
      </c>
      <c r="D17" s="648" t="n">
        <f aca="false">'Esports · Revenue'!E12*2</f>
        <v>1387312.8</v>
      </c>
      <c r="E17" s="1397" t="n">
        <f aca="false">D17/D14-1</f>
        <v>1</v>
      </c>
      <c r="F17" s="592" t="s">
        <v>6010</v>
      </c>
    </row>
    <row r="18" customFormat="false" ht="15" hidden="false" customHeight="true" outlineLevel="0" collapsed="false">
      <c r="B18" s="6"/>
      <c r="F18" s="6"/>
    </row>
    <row r="19" customFormat="false" ht="21.75" hidden="false" customHeight="true" outlineLevel="0" collapsed="false">
      <c r="B19" s="72" t="s">
        <v>6011</v>
      </c>
      <c r="C19" s="72"/>
      <c r="D19" s="72"/>
      <c r="E19" s="72"/>
      <c r="F19" s="72"/>
      <c r="G19" s="72"/>
    </row>
    <row r="20" customFormat="false" ht="120" hidden="false" customHeight="true" outlineLevel="0" collapsed="false">
      <c r="B20" s="1398" t="s">
        <v>6696</v>
      </c>
      <c r="C20" s="1398"/>
      <c r="D20" s="1398"/>
      <c r="E20" s="1398"/>
      <c r="F20" s="1398"/>
      <c r="G20" s="1398"/>
    </row>
    <row r="21" customFormat="false" ht="15" hidden="false" customHeight="true" outlineLevel="0" collapsed="false">
      <c r="B21" s="1398"/>
      <c r="C21" s="1398"/>
      <c r="D21" s="1398"/>
      <c r="E21" s="1398"/>
      <c r="F21" s="1398"/>
      <c r="G21" s="1398"/>
    </row>
    <row r="22" customFormat="false" ht="15" hidden="false" customHeight="true" outlineLevel="0" collapsed="false">
      <c r="B22" s="1398"/>
      <c r="C22" s="1398"/>
      <c r="D22" s="1398"/>
      <c r="E22" s="1398"/>
      <c r="F22" s="1398"/>
      <c r="G22" s="1398"/>
    </row>
    <row r="23" customFormat="false" ht="15" hidden="false" customHeight="true" outlineLevel="0" collapsed="false">
      <c r="B23" s="1398"/>
      <c r="C23" s="1398"/>
      <c r="D23" s="1398"/>
      <c r="E23" s="1398"/>
      <c r="F23" s="1398"/>
      <c r="G23" s="1398"/>
    </row>
    <row r="24" customFormat="false" ht="15" hidden="false" customHeight="true" outlineLevel="0" collapsed="false">
      <c r="B24" s="1398"/>
      <c r="C24" s="1398"/>
      <c r="D24" s="1398"/>
      <c r="E24" s="1398"/>
      <c r="F24" s="1398"/>
      <c r="G24" s="1398"/>
    </row>
  </sheetData>
  <mergeCells count="7">
    <mergeCell ref="B2:E2"/>
    <mergeCell ref="F2:G2"/>
    <mergeCell ref="B3:G3"/>
    <mergeCell ref="B5:G5"/>
    <mergeCell ref="B12:G12"/>
    <mergeCell ref="B19:G19"/>
    <mergeCell ref="B20:G2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A1:I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7"/>
    <col collapsed="false" customWidth="true" hidden="false" outlineLevel="0" max="9" min="8" style="0" width="9"/>
    <col collapsed="false" customWidth="true" hidden="false" outlineLevel="0" max="11" min="10" style="0" width="12"/>
  </cols>
  <sheetData>
    <row r="1" customFormat="false" ht="3.75" hidden="false" customHeight="true" outlineLevel="0" collapsed="false">
      <c r="A1" s="314"/>
      <c r="B1" s="315"/>
      <c r="C1" s="316"/>
      <c r="D1" s="316"/>
      <c r="E1" s="316"/>
      <c r="F1" s="315"/>
      <c r="G1" s="316"/>
      <c r="H1" s="316"/>
      <c r="I1" s="316"/>
    </row>
    <row r="2" customFormat="false" ht="27.75" hidden="false" customHeight="true" outlineLevel="0" collapsed="false">
      <c r="A2" s="314"/>
      <c r="B2" s="88" t="s">
        <v>6697</v>
      </c>
      <c r="C2" s="88"/>
      <c r="D2" s="88"/>
      <c r="E2" s="88"/>
      <c r="F2" s="88"/>
      <c r="G2" s="89" t="s">
        <v>995</v>
      </c>
      <c r="H2" s="89"/>
      <c r="I2" s="89"/>
    </row>
    <row r="3" customFormat="false" ht="33.75" hidden="false" customHeight="true" outlineLevel="0" collapsed="false">
      <c r="A3" s="314"/>
      <c r="B3" s="90" t="s">
        <v>6014</v>
      </c>
      <c r="C3" s="90"/>
      <c r="D3" s="90"/>
      <c r="E3" s="90"/>
      <c r="F3" s="90"/>
      <c r="G3" s="90"/>
      <c r="H3" s="90"/>
      <c r="I3" s="90"/>
    </row>
    <row r="4" customFormat="false" ht="15" hidden="false" customHeight="true" outlineLevel="0" collapsed="false">
      <c r="A4" s="314"/>
      <c r="B4" s="317"/>
      <c r="C4" s="314"/>
      <c r="D4" s="314"/>
      <c r="E4" s="314"/>
      <c r="F4" s="317"/>
      <c r="G4" s="314"/>
      <c r="H4" s="314"/>
      <c r="I4" s="314"/>
    </row>
    <row r="5" customFormat="false" ht="21.75" hidden="false" customHeight="true" outlineLevel="0" collapsed="false">
      <c r="A5" s="314"/>
      <c r="B5" s="96" t="s">
        <v>5096</v>
      </c>
      <c r="C5" s="96"/>
      <c r="D5" s="96"/>
      <c r="E5" s="96"/>
      <c r="F5" s="96"/>
      <c r="G5" s="96"/>
      <c r="H5" s="96"/>
      <c r="I5" s="96"/>
    </row>
    <row r="6" customFormat="false" ht="21.75" hidden="false" customHeight="true" outlineLevel="0" collapsed="false">
      <c r="A6" s="314"/>
      <c r="B6" s="97" t="s">
        <v>3507</v>
      </c>
      <c r="C6" s="98" t="s">
        <v>4313</v>
      </c>
      <c r="D6" s="98" t="s">
        <v>4264</v>
      </c>
      <c r="E6" s="98" t="s">
        <v>2930</v>
      </c>
      <c r="F6" s="99" t="s">
        <v>4265</v>
      </c>
      <c r="G6" s="98" t="s">
        <v>4266</v>
      </c>
      <c r="H6" s="314"/>
      <c r="I6" s="314"/>
    </row>
    <row r="7" customFormat="false" ht="15" hidden="false" customHeight="true" outlineLevel="0" collapsed="false">
      <c r="A7" s="314"/>
      <c r="B7" s="113" t="s">
        <v>5392</v>
      </c>
      <c r="C7" s="1218" t="n">
        <f aca="false">'Esports · Drivers'!C27</f>
        <v>0.33</v>
      </c>
      <c r="D7" s="1304" t="s">
        <v>5111</v>
      </c>
      <c r="E7" s="1305" t="s">
        <v>4270</v>
      </c>
      <c r="F7" s="691" t="s">
        <v>6698</v>
      </c>
      <c r="G7" s="107" t="s">
        <v>6699</v>
      </c>
      <c r="H7" s="314"/>
      <c r="I7" s="314"/>
    </row>
    <row r="8" customFormat="false" ht="15" hidden="false" customHeight="true" outlineLevel="0" collapsed="false">
      <c r="A8" s="314"/>
      <c r="B8" s="113" t="s">
        <v>6700</v>
      </c>
      <c r="C8" s="541" t="n">
        <f aca="false">'Esports · Revenue'!C31/4</f>
        <v>1082</v>
      </c>
      <c r="D8" s="1304" t="s">
        <v>5098</v>
      </c>
      <c r="E8" s="1305" t="s">
        <v>4270</v>
      </c>
      <c r="F8" s="691" t="s">
        <v>6698</v>
      </c>
      <c r="G8" s="107" t="s">
        <v>6701</v>
      </c>
      <c r="H8" s="314"/>
      <c r="I8" s="314"/>
    </row>
    <row r="9" customFormat="false" ht="15" hidden="false" customHeight="true" outlineLevel="0" collapsed="false">
      <c r="A9" s="314"/>
      <c r="B9" s="113" t="s">
        <v>6702</v>
      </c>
      <c r="C9" s="541" t="n">
        <f aca="false">'Esports · Drivers'!C31</f>
        <v>140</v>
      </c>
      <c r="D9" s="1304" t="s">
        <v>6703</v>
      </c>
      <c r="E9" s="1305" t="s">
        <v>4287</v>
      </c>
      <c r="F9" s="691" t="s">
        <v>4275</v>
      </c>
      <c r="G9" s="107" t="s">
        <v>6704</v>
      </c>
      <c r="H9" s="314"/>
      <c r="I9" s="314"/>
    </row>
    <row r="10" customFormat="false" ht="15" hidden="false" customHeight="true" outlineLevel="0" collapsed="false">
      <c r="A10" s="314"/>
      <c r="B10" s="126" t="s">
        <v>6705</v>
      </c>
      <c r="C10" s="1218" t="n">
        <v>0.7</v>
      </c>
      <c r="D10" s="1304" t="s">
        <v>5102</v>
      </c>
      <c r="E10" s="1305" t="s">
        <v>4287</v>
      </c>
      <c r="F10" s="691" t="s">
        <v>4275</v>
      </c>
      <c r="G10" s="107" t="s">
        <v>6706</v>
      </c>
      <c r="H10" s="314"/>
      <c r="I10" s="314"/>
    </row>
    <row r="11" customFormat="false" ht="15" hidden="false" customHeight="true" outlineLevel="0" collapsed="false">
      <c r="A11" s="314"/>
      <c r="B11" s="113" t="s">
        <v>6707</v>
      </c>
      <c r="C11" s="1218" t="n">
        <f aca="false">'Esports · Revenue'!C30/'Esports · Drivers'!C16/'Esports · Drivers'!C31</f>
        <v>1.11111111111111</v>
      </c>
      <c r="D11" s="1304" t="s">
        <v>6708</v>
      </c>
      <c r="E11" s="1305" t="s">
        <v>4287</v>
      </c>
      <c r="F11" s="691" t="s">
        <v>6698</v>
      </c>
      <c r="G11" s="107" t="s">
        <v>6709</v>
      </c>
      <c r="H11" s="314"/>
      <c r="I11" s="314"/>
    </row>
    <row r="12" customFormat="false" ht="15" hidden="false" customHeight="true" outlineLevel="0" collapsed="false">
      <c r="A12" s="314"/>
      <c r="B12" s="113" t="s">
        <v>6710</v>
      </c>
      <c r="C12" s="1218" t="n">
        <f aca="false">'Esports · Drivers'!C30</f>
        <v>0.45</v>
      </c>
      <c r="D12" s="1304" t="s">
        <v>6048</v>
      </c>
      <c r="E12" s="1305" t="s">
        <v>4270</v>
      </c>
      <c r="F12" s="691" t="s">
        <v>6698</v>
      </c>
      <c r="G12" s="107" t="s">
        <v>6711</v>
      </c>
      <c r="H12" s="314"/>
      <c r="I12" s="314"/>
    </row>
    <row r="13" customFormat="false" ht="15" hidden="false" customHeight="true" outlineLevel="0" collapsed="false">
      <c r="A13" s="314"/>
      <c r="B13" s="113" t="s">
        <v>6712</v>
      </c>
      <c r="C13" s="1218" t="n">
        <v>0.95</v>
      </c>
      <c r="D13" s="1304" t="s">
        <v>5132</v>
      </c>
      <c r="E13" s="1305" t="s">
        <v>4270</v>
      </c>
      <c r="F13" s="691" t="s">
        <v>4293</v>
      </c>
      <c r="G13" s="107" t="s">
        <v>6713</v>
      </c>
      <c r="H13" s="314"/>
      <c r="I13" s="314"/>
    </row>
    <row r="14" customFormat="false" ht="21.75" hidden="false" customHeight="true" outlineLevel="0" collapsed="false">
      <c r="A14" s="314"/>
      <c r="B14" s="126" t="s">
        <v>6714</v>
      </c>
      <c r="C14" s="541" t="n">
        <f aca="false">'Esports · Drivers'!C36</f>
        <v>42</v>
      </c>
      <c r="D14" s="1304" t="s">
        <v>5098</v>
      </c>
      <c r="E14" s="1305" t="s">
        <v>5115</v>
      </c>
      <c r="F14" s="691" t="s">
        <v>6715</v>
      </c>
      <c r="G14" s="107" t="s">
        <v>6716</v>
      </c>
      <c r="H14" s="314"/>
      <c r="I14" s="314"/>
    </row>
    <row r="15" customFormat="false" ht="21.75" hidden="false" customHeight="true" outlineLevel="0" collapsed="false">
      <c r="A15" s="314"/>
      <c r="B15" s="126" t="s">
        <v>6717</v>
      </c>
      <c r="C15" s="541" t="n">
        <f aca="false">'Esports · Drivers'!D83</f>
        <v>400</v>
      </c>
      <c r="D15" s="1304" t="s">
        <v>6718</v>
      </c>
      <c r="E15" s="1305" t="s">
        <v>5115</v>
      </c>
      <c r="F15" s="691" t="s">
        <v>6715</v>
      </c>
      <c r="G15" s="107" t="s">
        <v>6719</v>
      </c>
      <c r="H15" s="314"/>
      <c r="I15" s="314"/>
    </row>
    <row r="16" customFormat="false" ht="15" hidden="false" customHeight="true" outlineLevel="0" collapsed="false">
      <c r="A16" s="314"/>
      <c r="B16" s="126" t="s">
        <v>6720</v>
      </c>
      <c r="C16" s="1218" t="n">
        <f aca="false">'Esports · Drivers'!C77</f>
        <v>0.5</v>
      </c>
      <c r="D16" s="1304" t="s">
        <v>6721</v>
      </c>
      <c r="E16" s="1305" t="s">
        <v>5115</v>
      </c>
      <c r="F16" s="691" t="s">
        <v>6715</v>
      </c>
      <c r="G16" s="107" t="s">
        <v>6722</v>
      </c>
      <c r="H16" s="314"/>
      <c r="I16" s="314"/>
    </row>
    <row r="17" customFormat="false" ht="15" hidden="false" customHeight="true" outlineLevel="0" collapsed="false">
      <c r="A17" s="314"/>
      <c r="B17" s="113" t="s">
        <v>5122</v>
      </c>
      <c r="C17" s="541" t="n">
        <v>50</v>
      </c>
      <c r="D17" s="1304" t="s">
        <v>5123</v>
      </c>
      <c r="E17" s="1305" t="s">
        <v>4302</v>
      </c>
      <c r="F17" s="691" t="s">
        <v>6698</v>
      </c>
      <c r="G17" s="107" t="s">
        <v>6723</v>
      </c>
      <c r="H17" s="314"/>
      <c r="I17" s="314"/>
    </row>
    <row r="18" customFormat="false" ht="15" hidden="false" customHeight="true" outlineLevel="0" collapsed="false">
      <c r="A18" s="314"/>
      <c r="B18" s="126" t="s">
        <v>6724</v>
      </c>
      <c r="C18" s="547" t="n">
        <f aca="false">'Esports · Drivers'!C7*'Esports · Drivers'!C65/'Esports · Drivers'!C66</f>
        <v>35000</v>
      </c>
      <c r="D18" s="1304" t="s">
        <v>6725</v>
      </c>
      <c r="E18" s="1305" t="s">
        <v>4330</v>
      </c>
      <c r="F18" s="691" t="s">
        <v>4315</v>
      </c>
      <c r="G18" s="107" t="s">
        <v>6726</v>
      </c>
      <c r="H18" s="314"/>
      <c r="I18" s="314"/>
    </row>
    <row r="19" customFormat="false" ht="15" hidden="false" customHeight="true" outlineLevel="0" collapsed="false">
      <c r="A19" s="314"/>
      <c r="B19" s="126" t="s">
        <v>6727</v>
      </c>
      <c r="C19" s="543" t="n">
        <f aca="false">'Esports · Drivers'!C38</f>
        <v>1.5</v>
      </c>
      <c r="D19" s="1304" t="s">
        <v>6728</v>
      </c>
      <c r="E19" s="1305" t="s">
        <v>4287</v>
      </c>
      <c r="F19" s="691" t="s">
        <v>6729</v>
      </c>
      <c r="G19" s="107" t="s">
        <v>6730</v>
      </c>
      <c r="H19" s="314"/>
      <c r="I19" s="314"/>
    </row>
    <row r="20" customFormat="false" ht="15" hidden="false" customHeight="true" outlineLevel="0" collapsed="false">
      <c r="A20" s="314"/>
      <c r="B20" s="126" t="s">
        <v>6731</v>
      </c>
      <c r="C20" s="1218" t="n">
        <v>0.85</v>
      </c>
      <c r="D20" s="1304" t="s">
        <v>6054</v>
      </c>
      <c r="E20" s="1305" t="s">
        <v>4270</v>
      </c>
      <c r="F20" s="691" t="s">
        <v>6698</v>
      </c>
      <c r="G20" s="107" t="s">
        <v>6732</v>
      </c>
      <c r="H20" s="314"/>
      <c r="I20" s="314"/>
    </row>
    <row r="21" customFormat="false" ht="15" hidden="false" customHeight="true" outlineLevel="0" collapsed="false">
      <c r="A21" s="314"/>
      <c r="B21" s="113" t="s">
        <v>6733</v>
      </c>
      <c r="C21" s="541" t="n">
        <v>0</v>
      </c>
      <c r="D21" s="1304" t="s">
        <v>6734</v>
      </c>
      <c r="E21" s="1305" t="s">
        <v>4270</v>
      </c>
      <c r="F21" s="691" t="s">
        <v>6698</v>
      </c>
      <c r="G21" s="107" t="s">
        <v>6735</v>
      </c>
      <c r="H21" s="314"/>
      <c r="I21" s="314"/>
    </row>
    <row r="22" customFormat="false" ht="15" hidden="false" customHeight="true" outlineLevel="0" collapsed="false">
      <c r="A22" s="314"/>
      <c r="B22" s="317"/>
      <c r="C22" s="314"/>
      <c r="D22" s="314"/>
      <c r="E22" s="314"/>
      <c r="F22" s="317"/>
      <c r="G22" s="314"/>
      <c r="H22" s="314"/>
      <c r="I22" s="314"/>
    </row>
    <row r="23" customFormat="false" ht="21.75" hidden="false" customHeight="true" outlineLevel="0" collapsed="false">
      <c r="A23" s="314"/>
      <c r="B23" s="575" t="s">
        <v>4312</v>
      </c>
      <c r="C23" s="575"/>
      <c r="D23" s="575"/>
      <c r="E23" s="575"/>
      <c r="F23" s="575"/>
      <c r="G23" s="575"/>
      <c r="H23" s="575"/>
      <c r="I23" s="575"/>
    </row>
    <row r="24" customFormat="false" ht="21.75" hidden="false" customHeight="true" outlineLevel="0" collapsed="false">
      <c r="A24" s="314"/>
      <c r="B24" s="97" t="s">
        <v>3507</v>
      </c>
      <c r="C24" s="98" t="s">
        <v>4313</v>
      </c>
      <c r="D24" s="98" t="s">
        <v>4264</v>
      </c>
      <c r="E24" s="98" t="s">
        <v>2930</v>
      </c>
      <c r="F24" s="99" t="s">
        <v>4265</v>
      </c>
      <c r="G24" s="98" t="s">
        <v>1658</v>
      </c>
      <c r="H24" s="314"/>
      <c r="I24" s="314"/>
    </row>
    <row r="25" customFormat="false" ht="15" hidden="false" customHeight="true" outlineLevel="0" collapsed="false">
      <c r="A25" s="314"/>
      <c r="B25" s="113" t="s">
        <v>5145</v>
      </c>
      <c r="C25" s="547" t="n">
        <f aca="false">'Esports · Revenue'!E12/12</f>
        <v>57804.7</v>
      </c>
      <c r="D25" s="1304" t="s">
        <v>5136</v>
      </c>
      <c r="E25" s="1305" t="s">
        <v>4287</v>
      </c>
      <c r="F25" s="691" t="s">
        <v>4315</v>
      </c>
      <c r="G25" s="107" t="s">
        <v>6057</v>
      </c>
      <c r="H25" s="314"/>
      <c r="I25" s="314"/>
    </row>
    <row r="26" customFormat="false" ht="15" hidden="false" customHeight="true" outlineLevel="0" collapsed="false">
      <c r="B26" s="113" t="s">
        <v>5150</v>
      </c>
      <c r="C26" s="547" t="n">
        <f aca="false">'Esports · Costs'!C36/12</f>
        <v>39804.8333333333</v>
      </c>
      <c r="D26" s="1304" t="s">
        <v>5139</v>
      </c>
      <c r="E26" s="1305" t="s">
        <v>4287</v>
      </c>
      <c r="F26" s="691" t="s">
        <v>4315</v>
      </c>
      <c r="G26" s="107" t="s">
        <v>6736</v>
      </c>
    </row>
    <row r="27" customFormat="false" ht="15" hidden="false" customHeight="true" outlineLevel="0" collapsed="false">
      <c r="B27" s="113" t="s">
        <v>4387</v>
      </c>
      <c r="C27" s="1218" t="n">
        <f aca="false">'Esports · Costs'!C37</f>
        <v>0.688608942410104</v>
      </c>
      <c r="D27" s="1304" t="s">
        <v>6737</v>
      </c>
      <c r="E27" s="1305" t="s">
        <v>4287</v>
      </c>
      <c r="F27" s="691" t="s">
        <v>4315</v>
      </c>
      <c r="G27" s="107" t="s">
        <v>5154</v>
      </c>
    </row>
    <row r="28" customFormat="false" ht="15" hidden="false" customHeight="true" outlineLevel="0" collapsed="false">
      <c r="B28" s="126" t="s">
        <v>6738</v>
      </c>
      <c r="C28" s="1218" t="n">
        <f aca="false">'Esports · Revenue'!E8/'Esports · Revenue'!E12</f>
        <v>0.0726584516483954</v>
      </c>
      <c r="D28" s="1304" t="s">
        <v>6739</v>
      </c>
      <c r="E28" s="1305" t="s">
        <v>4302</v>
      </c>
      <c r="F28" s="691" t="s">
        <v>4315</v>
      </c>
      <c r="G28" s="107" t="s">
        <v>6740</v>
      </c>
    </row>
    <row r="29" customFormat="false" ht="15" hidden="false" customHeight="true" outlineLevel="0" collapsed="false">
      <c r="B29" s="113" t="s">
        <v>6741</v>
      </c>
      <c r="C29" s="1218" t="n">
        <f aca="false">('Esports · Revenue'!E10+'Esports · Revenue'!E11)/'Esports · Revenue'!E12</f>
        <v>0.234029412833213</v>
      </c>
      <c r="D29" s="1304" t="s">
        <v>5111</v>
      </c>
      <c r="E29" s="1305" t="s">
        <v>4302</v>
      </c>
      <c r="F29" s="691" t="s">
        <v>4315</v>
      </c>
      <c r="G29" s="107" t="s">
        <v>6742</v>
      </c>
    </row>
    <row r="30" customFormat="false" ht="15" hidden="false" customHeight="true" outlineLevel="0" collapsed="false">
      <c r="B30" s="126" t="s">
        <v>6743</v>
      </c>
      <c r="C30" s="1218" t="n">
        <f aca="false">'Esports · Revenue'!E11/('Esports · Revenue'!E10+'Esports · Revenue'!E11)</f>
        <v>0.739207569485512</v>
      </c>
      <c r="D30" s="1304" t="s">
        <v>6744</v>
      </c>
      <c r="E30" s="1305" t="s">
        <v>4302</v>
      </c>
      <c r="F30" s="691" t="s">
        <v>6715</v>
      </c>
      <c r="G30" s="107" t="s">
        <v>6745</v>
      </c>
    </row>
    <row r="31" customFormat="false" ht="15" hidden="false" customHeight="true" outlineLevel="0" collapsed="false">
      <c r="B31" s="113" t="s">
        <v>6064</v>
      </c>
      <c r="C31" s="547" t="n">
        <f aca="false">'Esports · Cash Flow'!F28/12</f>
        <v>40939.0885608711</v>
      </c>
      <c r="D31" s="1304" t="s">
        <v>4322</v>
      </c>
      <c r="E31" s="1305" t="s">
        <v>4287</v>
      </c>
      <c r="F31" s="691" t="s">
        <v>4315</v>
      </c>
      <c r="G31" s="107" t="s">
        <v>6065</v>
      </c>
    </row>
    <row r="32" customFormat="false" ht="15" hidden="false" customHeight="true" outlineLevel="0" collapsed="false">
      <c r="B32" s="113" t="s">
        <v>6746</v>
      </c>
      <c r="C32" s="547" t="n">
        <f aca="false">'Esports · Drivers'!C32*12+'Esports · Drivers'!C33*12*'Esports · Drivers'!C28*(1-'Esports · Drivers'!C34)</f>
        <v>1305</v>
      </c>
      <c r="D32" s="1304" t="s">
        <v>6747</v>
      </c>
      <c r="E32" s="1305" t="s">
        <v>4302</v>
      </c>
      <c r="F32" s="691" t="s">
        <v>4275</v>
      </c>
      <c r="G32" s="107" t="s">
        <v>6748</v>
      </c>
    </row>
    <row r="33" customFormat="false" ht="15" hidden="false" customHeight="true" outlineLevel="0" collapsed="false">
      <c r="B33" s="113" t="s">
        <v>6749</v>
      </c>
      <c r="C33" s="547" t="n">
        <f aca="false">('Esports · Costs'!C7+'Esports · Costs'!C8)/('Esports · Revenue'!C29*12)</f>
        <v>0.638327721661055</v>
      </c>
      <c r="D33" s="1304" t="s">
        <v>6750</v>
      </c>
      <c r="E33" s="1305" t="s">
        <v>4302</v>
      </c>
      <c r="F33" s="691" t="s">
        <v>4315</v>
      </c>
      <c r="G33" s="107" t="s">
        <v>6751</v>
      </c>
    </row>
    <row r="34" customFormat="false" ht="15" hidden="false" customHeight="true" outlineLevel="0" collapsed="false">
      <c r="B34" s="113" t="s">
        <v>6073</v>
      </c>
      <c r="C34" s="547" t="n">
        <f aca="false">'Esports · Costs'!C36</f>
        <v>477658</v>
      </c>
      <c r="D34" s="1304" t="s">
        <v>5136</v>
      </c>
      <c r="E34" s="1305" t="s">
        <v>4302</v>
      </c>
      <c r="F34" s="691" t="s">
        <v>4315</v>
      </c>
      <c r="G34" s="107" t="s">
        <v>91</v>
      </c>
    </row>
    <row r="35" customFormat="false" ht="15" hidden="false" customHeight="true" outlineLevel="0" collapsed="false">
      <c r="B35" s="113" t="s">
        <v>5170</v>
      </c>
      <c r="C35" s="1218" t="n">
        <f aca="false">'Esports · 8-Year'!F11/'Esports · 8-Year'!E11-1</f>
        <v>0.03</v>
      </c>
      <c r="D35" s="1304" t="s">
        <v>6075</v>
      </c>
      <c r="E35" s="1305" t="s">
        <v>4330</v>
      </c>
      <c r="F35" s="691" t="s">
        <v>4315</v>
      </c>
      <c r="G35" s="107" t="s">
        <v>6076</v>
      </c>
    </row>
    <row r="36" customFormat="false" ht="15" hidden="false" customHeight="true" outlineLevel="0" collapsed="false">
      <c r="B36" s="6"/>
      <c r="F36" s="6"/>
    </row>
    <row r="37" customFormat="false" ht="21.75" hidden="false" customHeight="true" outlineLevel="0" collapsed="false">
      <c r="B37" s="43" t="s">
        <v>5173</v>
      </c>
      <c r="C37" s="43"/>
      <c r="D37" s="43"/>
      <c r="E37" s="43"/>
      <c r="F37" s="43"/>
      <c r="G37" s="43"/>
      <c r="H37" s="43"/>
      <c r="I37" s="43"/>
    </row>
    <row r="38" customFormat="false" ht="120" hidden="false" customHeight="true" outlineLevel="0" collapsed="false">
      <c r="B38" s="602" t="s">
        <v>6752</v>
      </c>
      <c r="C38" s="602"/>
      <c r="D38" s="602"/>
      <c r="E38" s="602"/>
      <c r="F38" s="602"/>
      <c r="G38" s="602"/>
      <c r="H38" s="602"/>
      <c r="I38" s="602"/>
    </row>
  </sheetData>
  <mergeCells count="7">
    <mergeCell ref="B2:F2"/>
    <mergeCell ref="G2:I2"/>
    <mergeCell ref="B3:I3"/>
    <mergeCell ref="B5:I5"/>
    <mergeCell ref="B23:I23"/>
    <mergeCell ref="B37:I37"/>
    <mergeCell ref="B38:I3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917" t="s">
        <v>4334</v>
      </c>
      <c r="C2" s="917"/>
      <c r="D2" s="917"/>
      <c r="E2" s="917"/>
      <c r="F2" s="917"/>
      <c r="G2" s="89" t="s">
        <v>3432</v>
      </c>
      <c r="H2" s="89"/>
      <c r="I2" s="89"/>
      <c r="J2" s="89"/>
    </row>
    <row r="3" customFormat="false" ht="18" hidden="false" customHeight="true" outlineLevel="0" collapsed="false">
      <c r="B3" s="90" t="s">
        <v>6753</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6656</v>
      </c>
      <c r="C7" s="1313" t="n">
        <f aca="false">'Esports · Drivers'!C10</f>
        <v>0.2805</v>
      </c>
      <c r="D7" s="1314" t="n">
        <f aca="false">'Esports · Drivers'!D10</f>
        <v>0.33</v>
      </c>
      <c r="E7" s="1315" t="n">
        <f aca="false">'Esports · Drivers'!E10</f>
        <v>0.363</v>
      </c>
      <c r="F7" s="6"/>
    </row>
    <row r="8" customFormat="false" ht="15" hidden="false" customHeight="true" outlineLevel="0" collapsed="false">
      <c r="B8" s="113" t="s">
        <v>6754</v>
      </c>
      <c r="C8" s="1400" t="n">
        <f aca="false">'Esports · Drivers'!C7*'Esports · Drivers'!C8*'Esports · Drivers'!C9*'Esports · Drivers'!C10*12</f>
        <v>60588</v>
      </c>
      <c r="D8" s="533" t="n">
        <f aca="false">'Esports · Drivers'!D7*'Esports · Drivers'!D8*'Esports · Drivers'!D9*'Esports · Drivers'!D10*12</f>
        <v>85536</v>
      </c>
      <c r="E8" s="1401" t="n">
        <f aca="false">'Esports · Drivers'!E7*'Esports · Drivers'!E8*'Esports · Drivers'!E9*'Esports · Drivers'!E10*12</f>
        <v>103498.56</v>
      </c>
      <c r="F8" s="6"/>
    </row>
    <row r="9" customFormat="false" ht="15" hidden="false" customHeight="true" outlineLevel="0" collapsed="false">
      <c r="B9" s="113" t="s">
        <v>4983</v>
      </c>
      <c r="C9" s="1371" t="n">
        <f aca="false">(MAX(0,(('Esports · Drivers'!C7*'Esports · Drivers'!C8*'Esports · Drivers'!C9)*'Esports · Drivers'!C10)-('Esports · Drivers'!C14*'Esports · Drivers'!C16))*('Esports · Drivers'!C13*'Esports · Drivers'!C12+(1-'Esports · Drivers'!C13)*'Esports · Drivers'!C11)*12)+('Esports · Drivers'!C14*'Esports · Drivers'!C15*12)+(('Esports · Drivers'!C14*'Esports · Drivers'!C16)*('Esports · Drivers'!C11*(1-'Esports · Drivers'!C17))*12)+('Esports · Drivers'!C18*'Esports · Drivers'!C19*'Esports · Drivers'!C20*12)+('Esports · Drivers'!C82*'Esports · Drivers'!C83*'Esports · Drivers'!C84*12)+('Esports · Drivers'!C82*'Esports · Drivers'!C85*12)</f>
        <v>354375.050832</v>
      </c>
      <c r="D9" s="406" t="n">
        <f aca="false">(MAX(0,(('Esports · Drivers'!D7*'Esports · Drivers'!D8*'Esports · Drivers'!D9)*'Esports · Drivers'!D10)-('Esports · Drivers'!D14*'Esports · Drivers'!D16))*('Esports · Drivers'!D13*'Esports · Drivers'!D12+(1-'Esports · Drivers'!D13)*'Esports · Drivers'!D11)*12)+('Esports · Drivers'!D14*'Esports · Drivers'!D15*12)+(('Esports · Drivers'!D14*'Esports · Drivers'!D16)*('Esports · Drivers'!D11*(1-'Esports · Drivers'!D17))*12)+('Esports · Drivers'!D18*'Esports · Drivers'!D19*'Esports · Drivers'!D20*12)+('Esports · Drivers'!D82*'Esports · Drivers'!D83*'Esports · Drivers'!D84*12)+('Esports · Drivers'!D82*'Esports · Drivers'!D85*12)</f>
        <v>693656.4</v>
      </c>
      <c r="E9" s="1402" t="n">
        <f aca="false">(MAX(0,(('Esports · Drivers'!E7*'Esports · Drivers'!E8*'Esports · Drivers'!E9)*'Esports · Drivers'!E10)-('Esports · Drivers'!E14*'Esports · Drivers'!E16))*('Esports · Drivers'!E13*'Esports · Drivers'!E12+(1-'Esports · Drivers'!E13)*'Esports · Drivers'!E11)*12)+('Esports · Drivers'!E14*'Esports · Drivers'!E15*12)+(('Esports · Drivers'!E14*'Esports · Drivers'!E16)*('Esports · Drivers'!E11*(1-'Esports · Drivers'!E17))*12)+('Esports · Drivers'!E18*'Esports · Drivers'!E19*'Esports · Drivers'!E20*12)+('Esports · Drivers'!E82*'Esports · Drivers'!E83*'Esports · Drivers'!E84*12)+('Esports · Drivers'!E82*'Esports · Drivers'!E85*12)</f>
        <v>1394430.337872</v>
      </c>
      <c r="F9" s="692" t="n">
        <f aca="false">E9/C9</f>
        <v>3.93489985990313</v>
      </c>
    </row>
    <row r="10" customFormat="false" ht="15" hidden="false" customHeight="true" outlineLevel="0" collapsed="false">
      <c r="B10" s="6"/>
      <c r="F10" s="6"/>
    </row>
    <row r="11" customFormat="false" ht="15" hidden="false" customHeight="true" outlineLevel="0" collapsed="false">
      <c r="B11" s="6"/>
      <c r="F11" s="6"/>
    </row>
    <row r="12" customFormat="false" ht="21.75" hidden="false" customHeight="true" outlineLevel="0" collapsed="false">
      <c r="B12" s="96" t="s">
        <v>2447</v>
      </c>
      <c r="C12" s="96"/>
      <c r="D12" s="96"/>
      <c r="E12" s="96"/>
      <c r="F12" s="96"/>
      <c r="G12" s="96"/>
      <c r="H12" s="96"/>
    </row>
    <row r="13" customFormat="false" ht="15" hidden="false" customHeight="true" outlineLevel="0" collapsed="false">
      <c r="B13" s="97" t="s">
        <v>738</v>
      </c>
      <c r="C13" s="98" t="s">
        <v>962</v>
      </c>
      <c r="D13" s="98" t="s">
        <v>207</v>
      </c>
      <c r="E13" s="98" t="s">
        <v>2448</v>
      </c>
      <c r="F13" s="6"/>
    </row>
    <row r="14" customFormat="false" ht="15" hidden="false" customHeight="true" outlineLevel="0" collapsed="false">
      <c r="B14" s="113" t="s">
        <v>2449</v>
      </c>
      <c r="C14" s="696" t="n">
        <v>0.2</v>
      </c>
      <c r="D14" s="1316" t="n">
        <f aca="false">C9</f>
        <v>354375.050832</v>
      </c>
      <c r="E14" s="544" t="n">
        <f aca="false">C14*D14</f>
        <v>70875.0101664</v>
      </c>
      <c r="F14" s="6"/>
    </row>
    <row r="15" customFormat="false" ht="15" hidden="false" customHeight="true" outlineLevel="0" collapsed="false">
      <c r="B15" s="113" t="s">
        <v>2283</v>
      </c>
      <c r="C15" s="696" t="n">
        <v>0.55</v>
      </c>
      <c r="D15" s="1316" t="n">
        <f aca="false">D9</f>
        <v>693656.4</v>
      </c>
      <c r="E15" s="544" t="n">
        <f aca="false">C15*D15</f>
        <v>381511.02</v>
      </c>
      <c r="F15" s="6"/>
    </row>
    <row r="16" customFormat="false" ht="15" hidden="false" customHeight="true" outlineLevel="0" collapsed="false">
      <c r="B16" s="113" t="s">
        <v>2450</v>
      </c>
      <c r="C16" s="696" t="n">
        <v>0.25</v>
      </c>
      <c r="D16" s="1316" t="n">
        <f aca="false">E9</f>
        <v>1394430.337872</v>
      </c>
      <c r="E16" s="544" t="n">
        <f aca="false">C16*D16</f>
        <v>348607.584468</v>
      </c>
      <c r="F16" s="6"/>
    </row>
    <row r="17" customFormat="false" ht="15" hidden="false" customHeight="true" outlineLevel="0" collapsed="false">
      <c r="B17" s="6" t="s">
        <v>342</v>
      </c>
      <c r="C17" s="698" t="n">
        <f aca="false">SUM(C14:C16)</f>
        <v>1</v>
      </c>
      <c r="F17" s="6"/>
    </row>
    <row r="18" customFormat="false" ht="15" hidden="false" customHeight="true" outlineLevel="0" collapsed="false">
      <c r="B18" s="6"/>
      <c r="F18" s="6"/>
    </row>
    <row r="19" customFormat="false" ht="27.75" hidden="false" customHeight="true" outlineLevel="0" collapsed="false">
      <c r="B19" s="699" t="s">
        <v>5179</v>
      </c>
      <c r="E19" s="578" t="n">
        <f aca="false">SUM(E14:E16)</f>
        <v>800993.6146344</v>
      </c>
      <c r="F19" s="6"/>
    </row>
  </sheetData>
  <mergeCells count="5">
    <mergeCell ref="B2:F2"/>
    <mergeCell ref="G2:J2"/>
    <mergeCell ref="B3:J3"/>
    <mergeCell ref="B5:H5"/>
    <mergeCell ref="B12:H12"/>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6755</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6656</v>
      </c>
      <c r="C8" s="360" t="n">
        <f aca="false">(MAX(0,(('Esports · Drivers'!D7*'Esports · Drivers'!D8*'Esports · Drivers'!D9)*'Esports · Drivers'!D10*UNIVERSAL_DRIVERS!$C$33)-('Esports · Drivers'!D14*'Esports · Drivers'!D16))*('Esports · Drivers'!D13*'Esports · Drivers'!D12+(1-'Esports · Drivers'!D13)*'Esports · Drivers'!D11)*12)+('Esports · Drivers'!D14*'Esports · Drivers'!D15*12)+(('Esports · Drivers'!D14*'Esports · Drivers'!D16)*('Esports · Drivers'!D11*(1-'Esports · Drivers'!D17))*12)+('Esports · Drivers'!D18*'Esports · Drivers'!D19*'Esports · Drivers'!D20*12)</f>
        <v>458824.32</v>
      </c>
      <c r="D8" s="1280" t="n">
        <f aca="false">(MAX(0,(('Esports · Drivers'!D7*'Esports · Drivers'!D8*'Esports · Drivers'!D9)*'Esports · Drivers'!D10*UNIVERSAL_DRIVERS!$C$34)-('Esports · Drivers'!D14*'Esports · Drivers'!D16))*('Esports · Drivers'!D13*'Esports · Drivers'!D12+(1-'Esports · Drivers'!D13)*'Esports · Drivers'!D11)*12)+('Esports · Drivers'!D14*'Esports · Drivers'!D15*12)+(('Esports · Drivers'!D14*'Esports · Drivers'!D16)*('Esports · Drivers'!D11*(1-'Esports · Drivers'!D17))*12)+('Esports · Drivers'!D18*'Esports · Drivers'!D19*'Esports · Drivers'!D20*12)</f>
        <v>516240.36</v>
      </c>
      <c r="E8" s="1319" t="n">
        <f aca="false">(MAX(0,(('Esports · Drivers'!D7*'Esports · Drivers'!D8*'Esports · Drivers'!D9)*'Esports · Drivers'!D10*1)-('Esports · Drivers'!D14*'Esports · Drivers'!D16))*('Esports · Drivers'!D13*'Esports · Drivers'!D12+(1-'Esports · Drivers'!D13)*'Esports · Drivers'!D11)*12)+('Esports · Drivers'!D14*'Esports · Drivers'!D15*12)+(('Esports · Drivers'!D14*'Esports · Drivers'!D16)*('Esports · Drivers'!D11*(1-'Esports · Drivers'!D17))*12)+('Esports · Drivers'!D18*'Esports · Drivers'!D19*'Esports · Drivers'!D20*12)</f>
        <v>573656.4</v>
      </c>
      <c r="F8" s="1320" t="n">
        <f aca="false">(MAX(0,(('Esports · Drivers'!D7*'Esports · Drivers'!D8*'Esports · Drivers'!D9)*'Esports · Drivers'!D10*1.1)-('Esports · Drivers'!D14*'Esports · Drivers'!D16))*('Esports · Drivers'!D13*'Esports · Drivers'!D12+(1-'Esports · Drivers'!D13)*'Esports · Drivers'!D11)*12)+('Esports · Drivers'!D14*'Esports · Drivers'!D15*12)+(('Esports · Drivers'!D14*'Esports · Drivers'!D16)*('Esports · Drivers'!D11*(1-'Esports · Drivers'!D17))*12)+('Esports · Drivers'!D18*'Esports · Drivers'!D19*'Esports · Drivers'!D20*12)</f>
        <v>631072.44</v>
      </c>
      <c r="G8" s="1321" t="n">
        <f aca="false">(MAX(0,(('Esports · Drivers'!D7*'Esports · Drivers'!D8*'Esports · Drivers'!D9)*'Esports · Drivers'!D10*1.2)-('Esports · Drivers'!D14*'Esports · Drivers'!D16))*('Esports · Drivers'!D13*'Esports · Drivers'!D12+(1-'Esports · Drivers'!D13)*'Esports · Drivers'!D11)*12)+('Esports · Drivers'!D14*'Esports · Drivers'!D15*12)+(('Esports · Drivers'!D14*'Esports · Drivers'!D16)*('Esports · Drivers'!D11*(1-'Esports · Drivers'!D17))*12)+('Esports · Drivers'!D18*'Esports · Drivers'!D19*'Esports · Drivers'!D20*12)</f>
        <v>688488.48</v>
      </c>
    </row>
    <row r="9" customFormat="false" ht="120" hidden="false" customHeight="true" outlineLevel="0" collapsed="false">
      <c r="B9" s="113" t="s">
        <v>6756</v>
      </c>
      <c r="C9" s="360" t="n">
        <f aca="false">(MAX(0,(('Esports · Drivers'!D7*'Esports · Drivers'!D8*'Esports · Drivers'!D9)*'Esports · Drivers'!D10)-('Esports · Drivers'!D14*'Esports · Drivers'!D16))*('Esports · Drivers'!D13*'Esports · Drivers'!D12+(1-'Esports · Drivers'!D13)*'Esports · Drivers'!D11*UNIVERSAL_DRIVERS!$C$33)*12)+('Esports · Drivers'!D14*'Esports · Drivers'!D15*12)+(('Esports · Drivers'!D14*'Esports · Drivers'!D16)*('Esports · Drivers'!D11*UNIVERSAL_DRIVERS!$C$33*(1-'Esports · Drivers'!D17))*12)+('Esports · Drivers'!D18*'Esports · Drivers'!D19*'Esports · Drivers'!D20*12)</f>
        <v>517203.36</v>
      </c>
      <c r="D9" s="1280" t="n">
        <f aca="false">(MAX(0,(('Esports · Drivers'!D7*'Esports · Drivers'!D8*'Esports · Drivers'!D9)*'Esports · Drivers'!D10)-('Esports · Drivers'!D14*'Esports · Drivers'!D16))*('Esports · Drivers'!D13*'Esports · Drivers'!D12+(1-'Esports · Drivers'!D13)*'Esports · Drivers'!D11*UNIVERSAL_DRIVERS!$C$34)*12)+('Esports · Drivers'!D14*'Esports · Drivers'!D15*12)+(('Esports · Drivers'!D14*'Esports · Drivers'!D16)*('Esports · Drivers'!D11*UNIVERSAL_DRIVERS!$C$34*(1-'Esports · Drivers'!D17))*12)+('Esports · Drivers'!D18*'Esports · Drivers'!D19*'Esports · Drivers'!D20*12)</f>
        <v>545429.88</v>
      </c>
      <c r="E9" s="1319" t="n">
        <f aca="false">(MAX(0,(('Esports · Drivers'!D7*'Esports · Drivers'!D8*'Esports · Drivers'!D9)*'Esports · Drivers'!D10)-('Esports · Drivers'!D14*'Esports · Drivers'!D16))*('Esports · Drivers'!D13*'Esports · Drivers'!D12+(1-'Esports · Drivers'!D13)*'Esports · Drivers'!D11*1)*12)+('Esports · Drivers'!D14*'Esports · Drivers'!D15*12)+(('Esports · Drivers'!D14*'Esports · Drivers'!D16)*('Esports · Drivers'!D11*1*(1-'Esports · Drivers'!D17))*12)+('Esports · Drivers'!D18*'Esports · Drivers'!D19*'Esports · Drivers'!D20*12)</f>
        <v>573656.4</v>
      </c>
      <c r="F9" s="1320" t="n">
        <f aca="false">(MAX(0,(('Esports · Drivers'!D7*'Esports · Drivers'!D8*'Esports · Drivers'!D9)*'Esports · Drivers'!D10)-('Esports · Drivers'!D14*'Esports · Drivers'!D16))*('Esports · Drivers'!D13*'Esports · Drivers'!D12+(1-'Esports · Drivers'!D13)*'Esports · Drivers'!D11*1.1)*12)+('Esports · Drivers'!D14*'Esports · Drivers'!D15*12)+(('Esports · Drivers'!D14*'Esports · Drivers'!D16)*('Esports · Drivers'!D11*1.1*(1-'Esports · Drivers'!D17))*12)+('Esports · Drivers'!D18*'Esports · Drivers'!D19*'Esports · Drivers'!D20*12)</f>
        <v>601882.92</v>
      </c>
      <c r="G9" s="1321" t="n">
        <f aca="false">(MAX(0,(('Esports · Drivers'!D7*'Esports · Drivers'!D8*'Esports · Drivers'!D9)*'Esports · Drivers'!D10)-('Esports · Drivers'!D14*'Esports · Drivers'!D16))*('Esports · Drivers'!D13*'Esports · Drivers'!D12+(1-'Esports · Drivers'!D13)*'Esports · Drivers'!D11*1.2)*12)+('Esports · Drivers'!D14*'Esports · Drivers'!D15*12)+(('Esports · Drivers'!D14*'Esports · Drivers'!D16)*('Esports · Drivers'!D11*1.2*(1-'Esports · Drivers'!D17))*12)+('Esports · Drivers'!D18*'Esports · Drivers'!D19*'Esports · Drivers'!D20*12)</f>
        <v>630109.44</v>
      </c>
    </row>
    <row r="10" customFormat="false" ht="120" hidden="false" customHeight="true" outlineLevel="0" collapsed="false">
      <c r="B10" s="113" t="s">
        <v>6757</v>
      </c>
      <c r="C10" s="360" t="n">
        <f aca="false">(MAX(0,(('Esports · Drivers'!D7*'Esports · Drivers'!D8*'Esports · Drivers'!D9)*'Esports · Drivers'!D10)-('Esports · Drivers'!D14*UNIVERSAL_DRIVERS!$C$33*'Esports · Drivers'!D16))*('Esports · Drivers'!D13*'Esports · Drivers'!D12+(1-'Esports · Drivers'!D13)*'Esports · Drivers'!D11)*12)+('Esports · Drivers'!D14*UNIVERSAL_DRIVERS!$C$33*'Esports · Drivers'!D15*12)+(('Esports · Drivers'!D14*UNIVERSAL_DRIVERS!$C$33*'Esports · Drivers'!D16)*('Esports · Drivers'!D11*(1-'Esports · Drivers'!D17))*12)+('Esports · Drivers'!D18*'Esports · Drivers'!D19*'Esports · Drivers'!D20*12)</f>
        <v>582224.4</v>
      </c>
      <c r="D10" s="1280" t="n">
        <f aca="false">(MAX(0,(('Esports · Drivers'!D7*'Esports · Drivers'!D8*'Esports · Drivers'!D9)*'Esports · Drivers'!D10)-('Esports · Drivers'!D14*UNIVERSAL_DRIVERS!$C$34*'Esports · Drivers'!D16))*('Esports · Drivers'!D13*'Esports · Drivers'!D12+(1-'Esports · Drivers'!D13)*'Esports · Drivers'!D11)*12)+('Esports · Drivers'!D14*UNIVERSAL_DRIVERS!$C$34*'Esports · Drivers'!D15*12)+(('Esports · Drivers'!D14*UNIVERSAL_DRIVERS!$C$34*'Esports · Drivers'!D16)*('Esports · Drivers'!D11*(1-'Esports · Drivers'!D17))*12)+('Esports · Drivers'!D18*'Esports · Drivers'!D19*'Esports · Drivers'!D20*12)</f>
        <v>577940.4</v>
      </c>
      <c r="E10" s="1319" t="n">
        <f aca="false">(MAX(0,(('Esports · Drivers'!D7*'Esports · Drivers'!D8*'Esports · Drivers'!D9)*'Esports · Drivers'!D10)-('Esports · Drivers'!D14*1*'Esports · Drivers'!D16))*('Esports · Drivers'!D13*'Esports · Drivers'!D12+(1-'Esports · Drivers'!D13)*'Esports · Drivers'!D11)*12)+('Esports · Drivers'!D14*1*'Esports · Drivers'!D15*12)+(('Esports · Drivers'!D14*1*'Esports · Drivers'!D16)*('Esports · Drivers'!D11*(1-'Esports · Drivers'!D17))*12)+('Esports · Drivers'!D18*'Esports · Drivers'!D19*'Esports · Drivers'!D20*12)</f>
        <v>573656.4</v>
      </c>
      <c r="F10" s="1320" t="n">
        <f aca="false">(MAX(0,(('Esports · Drivers'!D7*'Esports · Drivers'!D8*'Esports · Drivers'!D9)*'Esports · Drivers'!D10)-('Esports · Drivers'!D14*1.1*'Esports · Drivers'!D16))*('Esports · Drivers'!D13*'Esports · Drivers'!D12+(1-'Esports · Drivers'!D13)*'Esports · Drivers'!D11)*12)+('Esports · Drivers'!D14*1.1*'Esports · Drivers'!D15*12)+(('Esports · Drivers'!D14*1.1*'Esports · Drivers'!D16)*('Esports · Drivers'!D11*(1-'Esports · Drivers'!D17))*12)+('Esports · Drivers'!D18*'Esports · Drivers'!D19*'Esports · Drivers'!D20*12)</f>
        <v>569372.4</v>
      </c>
      <c r="G10" s="1321" t="n">
        <f aca="false">(MAX(0,(('Esports · Drivers'!D7*'Esports · Drivers'!D8*'Esports · Drivers'!D9)*'Esports · Drivers'!D10)-('Esports · Drivers'!D14*1.2*'Esports · Drivers'!D16))*('Esports · Drivers'!D13*'Esports · Drivers'!D12+(1-'Esports · Drivers'!D13)*'Esports · Drivers'!D11)*12)+('Esports · Drivers'!D14*1.2*'Esports · Drivers'!D15*12)+(('Esports · Drivers'!D14*1.2*'Esports · Drivers'!D16)*('Esports · Drivers'!D11*(1-'Esports · Drivers'!D17))*12)+('Esports · Drivers'!D18*'Esports · Drivers'!D19*'Esports · Drivers'!D20*12)</f>
        <v>565088.4</v>
      </c>
    </row>
    <row r="11" customFormat="false" ht="120" hidden="false" customHeight="true" outlineLevel="0" collapsed="false">
      <c r="B11" s="113" t="s">
        <v>6758</v>
      </c>
      <c r="C11" s="360" t="n">
        <f aca="false">(MAX(0,(('Esports · Drivers'!D7*'Esports · Drivers'!D8*'Esports · Drivers'!D9)*'Esports · Drivers'!D10)-('Esports · Drivers'!D14*'Esports · Drivers'!D16))*('Esports · Drivers'!D13*'Esports · Drivers'!D12+(1-'Esports · Drivers'!D13)*'Esports · Drivers'!D11)*12)+('Esports · Drivers'!D14*'Esports · Drivers'!D15*UNIVERSAL_DRIVERS!$C$33*12)+(('Esports · Drivers'!D14*'Esports · Drivers'!D16)*('Esports · Drivers'!D11*(1-'Esports · Drivers'!D17))*12)+('Esports · Drivers'!D18*'Esports · Drivers'!D19*'Esports · Drivers'!D20*12)</f>
        <v>563576.4</v>
      </c>
      <c r="D11" s="1280" t="n">
        <f aca="false">(MAX(0,(('Esports · Drivers'!D7*'Esports · Drivers'!D8*'Esports · Drivers'!D9)*'Esports · Drivers'!D10)-('Esports · Drivers'!D14*'Esports · Drivers'!D16))*('Esports · Drivers'!D13*'Esports · Drivers'!D12+(1-'Esports · Drivers'!D13)*'Esports · Drivers'!D11)*12)+('Esports · Drivers'!D14*'Esports · Drivers'!D15*UNIVERSAL_DRIVERS!$C$34*12)+(('Esports · Drivers'!D14*'Esports · Drivers'!D16)*('Esports · Drivers'!D11*(1-'Esports · Drivers'!D17))*12)+('Esports · Drivers'!D18*'Esports · Drivers'!D19*'Esports · Drivers'!D20*12)</f>
        <v>568616.4</v>
      </c>
      <c r="E11" s="1319" t="n">
        <f aca="false">(MAX(0,(('Esports · Drivers'!D7*'Esports · Drivers'!D8*'Esports · Drivers'!D9)*'Esports · Drivers'!D10)-('Esports · Drivers'!D14*'Esports · Drivers'!D16))*('Esports · Drivers'!D13*'Esports · Drivers'!D12+(1-'Esports · Drivers'!D13)*'Esports · Drivers'!D11)*12)+('Esports · Drivers'!D14*'Esports · Drivers'!D15*1*12)+(('Esports · Drivers'!D14*'Esports · Drivers'!D16)*('Esports · Drivers'!D11*(1-'Esports · Drivers'!D17))*12)+('Esports · Drivers'!D18*'Esports · Drivers'!D19*'Esports · Drivers'!D20*12)</f>
        <v>573656.4</v>
      </c>
      <c r="F11" s="1320" t="n">
        <f aca="false">(MAX(0,(('Esports · Drivers'!D7*'Esports · Drivers'!D8*'Esports · Drivers'!D9)*'Esports · Drivers'!D10)-('Esports · Drivers'!D14*'Esports · Drivers'!D16))*('Esports · Drivers'!D13*'Esports · Drivers'!D12+(1-'Esports · Drivers'!D13)*'Esports · Drivers'!D11)*12)+('Esports · Drivers'!D14*'Esports · Drivers'!D15*1.1*12)+(('Esports · Drivers'!D14*'Esports · Drivers'!D16)*('Esports · Drivers'!D11*(1-'Esports · Drivers'!D17))*12)+('Esports · Drivers'!D18*'Esports · Drivers'!D19*'Esports · Drivers'!D20*12)</f>
        <v>578696.4</v>
      </c>
      <c r="G11" s="1321" t="n">
        <f aca="false">(MAX(0,(('Esports · Drivers'!D7*'Esports · Drivers'!D8*'Esports · Drivers'!D9)*'Esports · Drivers'!D10)-('Esports · Drivers'!D14*'Esports · Drivers'!D16))*('Esports · Drivers'!D13*'Esports · Drivers'!D12+(1-'Esports · Drivers'!D13)*'Esports · Drivers'!D11)*12)+('Esports · Drivers'!D14*'Esports · Drivers'!D15*1.2*12)+(('Esports · Drivers'!D14*'Esports · Drivers'!D16)*('Esports · Drivers'!D11*(1-'Esports · Drivers'!D17))*12)+('Esports · Drivers'!D18*'Esports · Drivers'!D19*'Esports · Drivers'!D20*12)</f>
        <v>583736.4</v>
      </c>
    </row>
    <row r="12" customFormat="false" ht="120" hidden="false" customHeight="true" outlineLevel="0" collapsed="false">
      <c r="B12" s="113" t="s">
        <v>6357</v>
      </c>
      <c r="C12" s="360" t="n">
        <f aca="false">(MAX(0,(('Esports · Drivers'!D7*'Esports · Drivers'!D8*'Esports · Drivers'!D9)*'Esports · Drivers'!D10)-('Esports · Drivers'!D14*'Esports · Drivers'!D16))*('Esports · Drivers'!D13*UNIVERSAL_DRIVERS!$C$33*'Esports · Drivers'!D12+(1-'Esports · Drivers'!D13*UNIVERSAL_DRIVERS!$C$33)*'Esports · Drivers'!D11)*12)+('Esports · Drivers'!D14*'Esports · Drivers'!D15*12)+(('Esports · Drivers'!D14*'Esports · Drivers'!D16)*('Esports · Drivers'!D11*(1-'Esports · Drivers'!D17))*12)+('Esports · Drivers'!D18*'Esports · Drivers'!D19*'Esports · Drivers'!D20*12)</f>
        <v>558465.12</v>
      </c>
      <c r="D12" s="1280" t="n">
        <f aca="false">(MAX(0,(('Esports · Drivers'!D7*'Esports · Drivers'!D8*'Esports · Drivers'!D9)*'Esports · Drivers'!D10)-('Esports · Drivers'!D14*'Esports · Drivers'!D16))*('Esports · Drivers'!D13*UNIVERSAL_DRIVERS!$C$34*'Esports · Drivers'!D12+(1-'Esports · Drivers'!D13*UNIVERSAL_DRIVERS!$C$34)*'Esports · Drivers'!D11)*12)+('Esports · Drivers'!D14*'Esports · Drivers'!D15*12)+(('Esports · Drivers'!D14*'Esports · Drivers'!D16)*('Esports · Drivers'!D11*(1-'Esports · Drivers'!D17))*12)+('Esports · Drivers'!D18*'Esports · Drivers'!D19*'Esports · Drivers'!D20*12)</f>
        <v>566060.76</v>
      </c>
      <c r="E12" s="1319" t="n">
        <f aca="false">(MAX(0,(('Esports · Drivers'!D7*'Esports · Drivers'!D8*'Esports · Drivers'!D9)*'Esports · Drivers'!D10)-('Esports · Drivers'!D14*'Esports · Drivers'!D16))*('Esports · Drivers'!D13*1*'Esports · Drivers'!D12+(1-'Esports · Drivers'!D13*1)*'Esports · Drivers'!D11)*12)+('Esports · Drivers'!D14*'Esports · Drivers'!D15*12)+(('Esports · Drivers'!D14*'Esports · Drivers'!D16)*('Esports · Drivers'!D11*(1-'Esports · Drivers'!D17))*12)+('Esports · Drivers'!D18*'Esports · Drivers'!D19*'Esports · Drivers'!D20*12)</f>
        <v>573656.4</v>
      </c>
      <c r="F12" s="1320" t="n">
        <f aca="false">(MAX(0,(('Esports · Drivers'!D7*'Esports · Drivers'!D8*'Esports · Drivers'!D9)*'Esports · Drivers'!D10)-('Esports · Drivers'!D14*'Esports · Drivers'!D16))*('Esports · Drivers'!D13*1.1*'Esports · Drivers'!D12+(1-'Esports · Drivers'!D13*1.1)*'Esports · Drivers'!D11)*12)+('Esports · Drivers'!D14*'Esports · Drivers'!D15*12)+(('Esports · Drivers'!D14*'Esports · Drivers'!D16)*('Esports · Drivers'!D11*(1-'Esports · Drivers'!D17))*12)+('Esports · Drivers'!D18*'Esports · Drivers'!D19*'Esports · Drivers'!D20*12)</f>
        <v>581252.04</v>
      </c>
      <c r="G12" s="1321" t="n">
        <f aca="false">(MAX(0,(('Esports · Drivers'!D7*'Esports · Drivers'!D8*'Esports · Drivers'!D9)*'Esports · Drivers'!D10)-('Esports · Drivers'!D14*'Esports · Drivers'!D16))*('Esports · Drivers'!D13*1.2*'Esports · Drivers'!D12+(1-'Esports · Drivers'!D13*1.2)*'Esports · Drivers'!D11)*12)+('Esports · Drivers'!D14*'Esports · Drivers'!D15*12)+(('Esports · Drivers'!D14*'Esports · Drivers'!D16)*('Esports · Drivers'!D11*(1-'Esports · Drivers'!D17))*12)+('Esports · Drivers'!D18*'Esports · Drivers'!D19*'Esports · Drivers'!D20*12)</f>
        <v>588847.68</v>
      </c>
    </row>
    <row r="13" customFormat="false" ht="15" hidden="false" customHeight="true" outlineLevel="0" collapsed="false">
      <c r="B13" s="6"/>
      <c r="F13" s="6"/>
    </row>
    <row r="14" customFormat="false" ht="15" hidden="false" customHeight="true" outlineLevel="0" collapsed="false">
      <c r="B14" s="6"/>
      <c r="F14" s="6"/>
    </row>
    <row r="15" customFormat="false" ht="21.75" hidden="false" customHeight="true" outlineLevel="0" collapsed="false">
      <c r="B15" s="304" t="s">
        <v>2343</v>
      </c>
      <c r="C15" s="304"/>
      <c r="D15" s="304"/>
      <c r="E15" s="304"/>
      <c r="F15" s="304"/>
      <c r="G15" s="304"/>
      <c r="H15" s="304"/>
    </row>
    <row r="16" customFormat="false" ht="120" hidden="false" customHeight="true" outlineLevel="0" collapsed="false">
      <c r="B16" s="85" t="s">
        <v>6759</v>
      </c>
      <c r="C16" s="85"/>
      <c r="D16" s="85"/>
      <c r="E16" s="85"/>
      <c r="F16" s="85"/>
      <c r="G16" s="85"/>
    </row>
    <row r="17" customFormat="false" ht="15" hidden="false" customHeight="true" outlineLevel="0" collapsed="false">
      <c r="B17" s="85"/>
      <c r="C17" s="85"/>
      <c r="D17" s="85"/>
      <c r="E17" s="85"/>
      <c r="F17" s="85"/>
      <c r="G17" s="85"/>
    </row>
    <row r="18" customFormat="false" ht="15" hidden="false" customHeight="true" outlineLevel="0" collapsed="false">
      <c r="B18" s="85"/>
      <c r="C18" s="85"/>
      <c r="D18" s="85"/>
      <c r="E18" s="85"/>
      <c r="F18" s="85"/>
      <c r="G18" s="85"/>
    </row>
    <row r="19" customFormat="false" ht="15" hidden="false" customHeight="true" outlineLevel="0" collapsed="false">
      <c r="B19" s="85"/>
      <c r="C19" s="85"/>
      <c r="D19" s="85"/>
      <c r="E19" s="85"/>
      <c r="F19" s="85"/>
      <c r="G19" s="85"/>
    </row>
  </sheetData>
  <mergeCells count="6">
    <mergeCell ref="B2:F2"/>
    <mergeCell ref="G2:J2"/>
    <mergeCell ref="B3:J3"/>
    <mergeCell ref="B5:H5"/>
    <mergeCell ref="B15:H15"/>
    <mergeCell ref="B16:G19"/>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A1:I7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0"/>
    <col collapsed="false" customWidth="true" hidden="false" outlineLevel="0" max="7" min="7" style="0" width="27"/>
    <col collapsed="false" customWidth="true" hidden="false" outlineLevel="0" max="9" min="8" style="0" width="9"/>
    <col collapsed="false" customWidth="true" hidden="false" outlineLevel="0" max="11" min="10" style="0" width="12"/>
  </cols>
  <sheetData>
    <row r="1" customFormat="false" ht="3.75" hidden="false" customHeight="true" outlineLevel="0" collapsed="false">
      <c r="A1" s="314"/>
      <c r="B1" s="315"/>
      <c r="C1" s="316"/>
      <c r="D1" s="316"/>
      <c r="E1" s="315"/>
      <c r="F1" s="316"/>
      <c r="G1" s="316"/>
      <c r="H1" s="2"/>
      <c r="I1" s="2"/>
    </row>
    <row r="2" customFormat="false" ht="27.75" hidden="false" customHeight="true" outlineLevel="0" collapsed="false">
      <c r="A2" s="314"/>
      <c r="B2" s="88" t="s">
        <v>6760</v>
      </c>
      <c r="C2" s="88"/>
      <c r="D2" s="88"/>
      <c r="E2" s="88"/>
      <c r="F2" s="88"/>
      <c r="G2" s="89" t="s">
        <v>995</v>
      </c>
      <c r="H2" s="89"/>
      <c r="I2" s="89"/>
    </row>
    <row r="3" customFormat="false" ht="33.75" hidden="false" customHeight="true" outlineLevel="0" collapsed="false">
      <c r="A3" s="314"/>
      <c r="B3" s="90" t="s">
        <v>6091</v>
      </c>
      <c r="C3" s="90"/>
      <c r="D3" s="90"/>
      <c r="E3" s="90"/>
      <c r="F3" s="90"/>
      <c r="G3" s="90"/>
      <c r="H3" s="90"/>
      <c r="I3" s="90"/>
    </row>
    <row r="4" customFormat="false" ht="15" hidden="false" customHeight="true" outlineLevel="0" collapsed="false">
      <c r="A4" s="314"/>
      <c r="B4" s="317"/>
      <c r="C4" s="314"/>
      <c r="D4" s="314"/>
      <c r="E4" s="317"/>
      <c r="F4" s="314"/>
      <c r="G4" s="314"/>
    </row>
    <row r="5" customFormat="false" ht="21.75" hidden="false" customHeight="true" outlineLevel="0" collapsed="false">
      <c r="A5" s="314"/>
      <c r="B5" s="96" t="s">
        <v>4374</v>
      </c>
      <c r="C5" s="96"/>
      <c r="D5" s="96"/>
      <c r="E5" s="96"/>
      <c r="F5" s="96"/>
      <c r="G5" s="96"/>
      <c r="H5" s="96"/>
      <c r="I5" s="96"/>
    </row>
    <row r="6" customFormat="false" ht="21.75" hidden="false" customHeight="true" outlineLevel="0" collapsed="false">
      <c r="A6" s="314"/>
      <c r="B6" s="97" t="s">
        <v>206</v>
      </c>
      <c r="C6" s="98" t="s">
        <v>4375</v>
      </c>
      <c r="D6" s="98" t="s">
        <v>4441</v>
      </c>
      <c r="E6" s="99" t="s">
        <v>5189</v>
      </c>
      <c r="F6" s="98" t="s">
        <v>4141</v>
      </c>
      <c r="G6" s="98" t="s">
        <v>395</v>
      </c>
    </row>
    <row r="7" customFormat="false" ht="15" hidden="false" customHeight="true" outlineLevel="0" collapsed="false">
      <c r="A7" s="314"/>
      <c r="B7" s="113" t="s">
        <v>6761</v>
      </c>
      <c r="C7" s="541" t="n">
        <f aca="false">'Esports · Drivers'!C7</f>
        <v>60</v>
      </c>
      <c r="D7" s="706" t="s">
        <v>6762</v>
      </c>
      <c r="E7" s="863" t="s">
        <v>6763</v>
      </c>
      <c r="F7" s="690" t="s">
        <v>6764</v>
      </c>
      <c r="G7" s="107" t="s">
        <v>6765</v>
      </c>
    </row>
    <row r="8" customFormat="false" ht="15" hidden="false" customHeight="true" outlineLevel="0" collapsed="false">
      <c r="A8" s="314"/>
      <c r="B8" s="113" t="s">
        <v>6486</v>
      </c>
      <c r="C8" s="541" t="n">
        <f aca="false">'Esports · Drivers'!C25</f>
        <v>12</v>
      </c>
      <c r="D8" s="706" t="s">
        <v>6766</v>
      </c>
      <c r="E8" s="863" t="s">
        <v>6767</v>
      </c>
      <c r="F8" s="690" t="s">
        <v>6768</v>
      </c>
      <c r="G8" s="107" t="s">
        <v>6769</v>
      </c>
    </row>
    <row r="9" customFormat="false" ht="15" hidden="false" customHeight="true" outlineLevel="0" collapsed="false">
      <c r="A9" s="314"/>
      <c r="B9" s="113" t="s">
        <v>6770</v>
      </c>
      <c r="C9" s="541" t="n">
        <v>360</v>
      </c>
      <c r="D9" s="706" t="s">
        <v>6771</v>
      </c>
      <c r="E9" s="863" t="s">
        <v>6771</v>
      </c>
      <c r="F9" s="690" t="s">
        <v>5196</v>
      </c>
      <c r="G9" s="107" t="s">
        <v>6772</v>
      </c>
    </row>
    <row r="10" customFormat="false" ht="15" hidden="false" customHeight="true" outlineLevel="0" collapsed="false">
      <c r="A10" s="314"/>
      <c r="B10" s="113" t="s">
        <v>5392</v>
      </c>
      <c r="C10" s="1218" t="n">
        <f aca="false">'Esports · Drivers'!C27</f>
        <v>0.33</v>
      </c>
      <c r="D10" s="706" t="s">
        <v>6773</v>
      </c>
      <c r="E10" s="863" t="s">
        <v>6774</v>
      </c>
      <c r="F10" s="690" t="s">
        <v>2828</v>
      </c>
      <c r="G10" s="107" t="s">
        <v>6775</v>
      </c>
    </row>
    <row r="11" customFormat="false" ht="15" hidden="false" customHeight="true" outlineLevel="0" collapsed="false">
      <c r="A11" s="314"/>
      <c r="B11" s="113" t="s">
        <v>6776</v>
      </c>
      <c r="C11" s="541" t="n">
        <f aca="false">'Esports · Drivers'!C31</f>
        <v>140</v>
      </c>
      <c r="D11" s="706" t="s">
        <v>6777</v>
      </c>
      <c r="E11" s="863" t="s">
        <v>6778</v>
      </c>
      <c r="F11" s="690" t="s">
        <v>5201</v>
      </c>
      <c r="G11" s="107" t="s">
        <v>6779</v>
      </c>
    </row>
    <row r="12" customFormat="false" ht="15" hidden="false" customHeight="true" outlineLevel="0" collapsed="false">
      <c r="A12" s="314"/>
      <c r="B12" s="113" t="s">
        <v>6780</v>
      </c>
      <c r="C12" s="541" t="n">
        <f aca="false">'Esports · Drivers'!C35</f>
        <v>12</v>
      </c>
      <c r="D12" s="706" t="s">
        <v>6781</v>
      </c>
      <c r="E12" s="863" t="s">
        <v>6782</v>
      </c>
      <c r="F12" s="690" t="s">
        <v>6783</v>
      </c>
      <c r="G12" s="107" t="s">
        <v>6784</v>
      </c>
    </row>
    <row r="13" customFormat="false" ht="15" hidden="false" customHeight="true" outlineLevel="0" collapsed="false">
      <c r="A13" s="314"/>
      <c r="B13" s="113" t="s">
        <v>6785</v>
      </c>
      <c r="C13" s="1218" t="n">
        <f aca="false">'Esports · Costs'!C37</f>
        <v>0.688608942410104</v>
      </c>
      <c r="D13" s="706" t="s">
        <v>6099</v>
      </c>
      <c r="E13" s="863" t="s">
        <v>4388</v>
      </c>
      <c r="F13" s="690" t="s">
        <v>5224</v>
      </c>
      <c r="G13" s="107" t="s">
        <v>6786</v>
      </c>
    </row>
    <row r="14" customFormat="false" ht="15" hidden="false" customHeight="true" outlineLevel="0" collapsed="false">
      <c r="A14" s="314"/>
      <c r="B14" s="113" t="s">
        <v>6787</v>
      </c>
      <c r="C14" s="547" t="n">
        <f aca="false">'Esports · Revenue'!E12/'Esports · Drivers'!C7</f>
        <v>11560.94</v>
      </c>
      <c r="D14" s="706" t="s">
        <v>6788</v>
      </c>
      <c r="E14" s="863" t="s">
        <v>6789</v>
      </c>
      <c r="F14" s="690" t="s">
        <v>6790</v>
      </c>
      <c r="G14" s="107" t="s">
        <v>6791</v>
      </c>
    </row>
    <row r="15" customFormat="false" ht="21.75" hidden="false" customHeight="true" outlineLevel="0" collapsed="false">
      <c r="A15" s="314"/>
      <c r="B15" s="113" t="s">
        <v>4384</v>
      </c>
      <c r="C15" s="541" t="n">
        <v>3</v>
      </c>
      <c r="D15" s="706" t="s">
        <v>6792</v>
      </c>
      <c r="E15" s="863" t="s">
        <v>6793</v>
      </c>
      <c r="F15" s="690" t="s">
        <v>6794</v>
      </c>
      <c r="G15" s="107" t="s">
        <v>6795</v>
      </c>
    </row>
    <row r="16" customFormat="false" ht="15" hidden="false" customHeight="true" outlineLevel="0" collapsed="false">
      <c r="A16" s="314"/>
      <c r="B16" s="317"/>
      <c r="C16" s="314"/>
      <c r="D16" s="314"/>
      <c r="E16" s="317"/>
      <c r="F16" s="314"/>
      <c r="G16" s="314"/>
    </row>
    <row r="17" customFormat="false" ht="33.75" hidden="false" customHeight="true" outlineLevel="0" collapsed="false">
      <c r="B17" s="96" t="s">
        <v>6119</v>
      </c>
      <c r="C17" s="96"/>
      <c r="D17" s="96"/>
      <c r="E17" s="96"/>
      <c r="F17" s="96"/>
      <c r="G17" s="96"/>
      <c r="H17" s="96"/>
      <c r="I17" s="96"/>
    </row>
    <row r="18" customFormat="false" ht="21.75" hidden="false" customHeight="true" outlineLevel="0" collapsed="false">
      <c r="B18" s="97" t="s">
        <v>6120</v>
      </c>
      <c r="C18" s="98" t="s">
        <v>4375</v>
      </c>
      <c r="D18" s="98" t="s">
        <v>5232</v>
      </c>
      <c r="E18" s="99" t="s">
        <v>5189</v>
      </c>
      <c r="F18" s="98" t="s">
        <v>4443</v>
      </c>
      <c r="G18" s="98" t="s">
        <v>1658</v>
      </c>
    </row>
    <row r="19" customFormat="false" ht="15" hidden="false" customHeight="true" outlineLevel="0" collapsed="false">
      <c r="B19" s="113" t="s">
        <v>6495</v>
      </c>
      <c r="C19" s="543" t="n">
        <f aca="false">'Esports · Drivers'!C28</f>
        <v>5.25</v>
      </c>
      <c r="D19" s="706" t="s">
        <v>6796</v>
      </c>
      <c r="E19" s="863" t="s">
        <v>6797</v>
      </c>
      <c r="F19" s="690" t="s">
        <v>6127</v>
      </c>
      <c r="G19" s="107" t="s">
        <v>6798</v>
      </c>
    </row>
    <row r="20" customFormat="false" ht="15" hidden="false" customHeight="true" outlineLevel="0" collapsed="false">
      <c r="B20" s="113" t="s">
        <v>6498</v>
      </c>
      <c r="C20" s="543" t="n">
        <f aca="false">'Esports · Drivers'!C29</f>
        <v>8.5</v>
      </c>
      <c r="D20" s="706" t="s">
        <v>6799</v>
      </c>
      <c r="E20" s="863" t="s">
        <v>6800</v>
      </c>
      <c r="F20" s="690" t="s">
        <v>6127</v>
      </c>
      <c r="G20" s="107" t="s">
        <v>6801</v>
      </c>
    </row>
    <row r="21" customFormat="false" ht="15" hidden="false" customHeight="true" outlineLevel="0" collapsed="false">
      <c r="B21" s="113" t="s">
        <v>6357</v>
      </c>
      <c r="C21" s="1218" t="n">
        <f aca="false">'Esports · Drivers'!C30</f>
        <v>0.45</v>
      </c>
      <c r="D21" s="706" t="s">
        <v>6802</v>
      </c>
      <c r="E21" s="863" t="s">
        <v>5294</v>
      </c>
      <c r="F21" s="690" t="s">
        <v>6803</v>
      </c>
      <c r="G21" s="107" t="s">
        <v>6804</v>
      </c>
    </row>
    <row r="22" customFormat="false" ht="15" hidden="false" customHeight="true" outlineLevel="0" collapsed="false">
      <c r="B22" s="113" t="s">
        <v>6508</v>
      </c>
      <c r="C22" s="543" t="n">
        <f aca="false">'Esports · Drivers'!C32</f>
        <v>30</v>
      </c>
      <c r="D22" s="706" t="s">
        <v>6805</v>
      </c>
      <c r="E22" s="863" t="s">
        <v>6806</v>
      </c>
      <c r="F22" s="690" t="s">
        <v>6807</v>
      </c>
      <c r="G22" s="107" t="s">
        <v>6808</v>
      </c>
    </row>
    <row r="23" customFormat="false" ht="15" hidden="false" customHeight="true" outlineLevel="0" collapsed="false">
      <c r="B23" s="113" t="s">
        <v>6518</v>
      </c>
      <c r="C23" s="543" t="n">
        <f aca="false">'Esports · Drivers'!C37</f>
        <v>7</v>
      </c>
      <c r="D23" s="706" t="s">
        <v>6809</v>
      </c>
      <c r="E23" s="863" t="s">
        <v>6810</v>
      </c>
      <c r="F23" s="690" t="s">
        <v>5213</v>
      </c>
      <c r="G23" s="107" t="s">
        <v>6519</v>
      </c>
    </row>
    <row r="24" customFormat="false" ht="15" hidden="false" customHeight="true" outlineLevel="0" collapsed="false">
      <c r="B24" s="113" t="s">
        <v>6811</v>
      </c>
      <c r="C24" s="543" t="n">
        <f aca="false">'Esports · Drivers'!D84</f>
        <v>5</v>
      </c>
      <c r="D24" s="706" t="s">
        <v>6812</v>
      </c>
      <c r="E24" s="863" t="s">
        <v>6813</v>
      </c>
      <c r="F24" s="690" t="s">
        <v>6814</v>
      </c>
      <c r="G24" s="107" t="s">
        <v>6815</v>
      </c>
    </row>
    <row r="25" customFormat="false" ht="15" hidden="false" customHeight="true" outlineLevel="0" collapsed="false">
      <c r="B25" s="126" t="s">
        <v>6534</v>
      </c>
      <c r="C25" s="543" t="n">
        <f aca="false">'Esports · Drivers'!D85</f>
        <v>500</v>
      </c>
      <c r="D25" s="706" t="s">
        <v>2350</v>
      </c>
      <c r="E25" s="863" t="s">
        <v>6816</v>
      </c>
      <c r="F25" s="690" t="s">
        <v>6817</v>
      </c>
      <c r="G25" s="107" t="s">
        <v>6818</v>
      </c>
    </row>
    <row r="26" customFormat="false" ht="15" hidden="false" customHeight="true" outlineLevel="0" collapsed="false">
      <c r="B26" s="126" t="s">
        <v>6819</v>
      </c>
      <c r="C26" s="543" t="n">
        <f aca="false">'Esports · Drivers'!C65</f>
        <v>1750</v>
      </c>
      <c r="D26" s="706" t="s">
        <v>6820</v>
      </c>
      <c r="E26" s="863" t="s">
        <v>6821</v>
      </c>
      <c r="F26" s="690" t="s">
        <v>6822</v>
      </c>
      <c r="G26" s="107" t="s">
        <v>6823</v>
      </c>
    </row>
    <row r="27" customFormat="false" ht="15" hidden="false" customHeight="true" outlineLevel="0" collapsed="false">
      <c r="B27" s="113" t="s">
        <v>6572</v>
      </c>
      <c r="C27" s="543" t="n">
        <f aca="false">'Esports · Drivers'!C38</f>
        <v>1.5</v>
      </c>
      <c r="D27" s="706" t="s">
        <v>6824</v>
      </c>
      <c r="E27" s="863" t="s">
        <v>6812</v>
      </c>
      <c r="F27" s="690" t="s">
        <v>6768</v>
      </c>
      <c r="G27" s="107" t="s">
        <v>6825</v>
      </c>
    </row>
    <row r="28" customFormat="false" ht="15" hidden="false" customHeight="true" outlineLevel="0" collapsed="false">
      <c r="B28" s="6"/>
      <c r="E28" s="6"/>
    </row>
    <row r="29" customFormat="false" ht="21.75" hidden="false" customHeight="true" outlineLevel="0" collapsed="false">
      <c r="B29" s="96" t="s">
        <v>4426</v>
      </c>
      <c r="C29" s="96"/>
      <c r="D29" s="96"/>
      <c r="E29" s="96"/>
      <c r="F29" s="96"/>
      <c r="G29" s="96"/>
      <c r="H29" s="96"/>
      <c r="I29" s="96"/>
    </row>
    <row r="30" customFormat="false" ht="21.75" hidden="false" customHeight="true" outlineLevel="0" collapsed="false">
      <c r="B30" s="97" t="s">
        <v>206</v>
      </c>
      <c r="C30" s="98" t="s">
        <v>4427</v>
      </c>
      <c r="D30" s="98" t="s">
        <v>4428</v>
      </c>
      <c r="E30" s="99"/>
      <c r="F30" s="98"/>
      <c r="G30" s="98" t="s">
        <v>1658</v>
      </c>
    </row>
    <row r="31" customFormat="false" ht="15" hidden="false" customHeight="true" outlineLevel="0" collapsed="false">
      <c r="B31" s="113" t="s">
        <v>6826</v>
      </c>
      <c r="C31" s="547" t="n">
        <f aca="false">'Esports · Revenue'!E12/'Esports · Drivers'!C7</f>
        <v>11560.94</v>
      </c>
      <c r="D31" s="706" t="s">
        <v>6827</v>
      </c>
      <c r="E31" s="6"/>
      <c r="G31" s="107" t="s">
        <v>6828</v>
      </c>
    </row>
    <row r="32" customFormat="false" ht="15" hidden="false" customHeight="true" outlineLevel="0" collapsed="false">
      <c r="B32" s="113" t="s">
        <v>6829</v>
      </c>
      <c r="C32" s="541" t="n">
        <f aca="false">'Esports · Revenue'!C28</f>
        <v>21600</v>
      </c>
      <c r="D32" s="706" t="s">
        <v>6830</v>
      </c>
      <c r="E32" s="6"/>
      <c r="G32" s="107" t="s">
        <v>6831</v>
      </c>
    </row>
    <row r="33" customFormat="false" ht="15" hidden="false" customHeight="true" outlineLevel="0" collapsed="false">
      <c r="B33" s="113" t="s">
        <v>6832</v>
      </c>
      <c r="C33" s="541" t="n">
        <f aca="false">'Esports · Revenue'!C30</f>
        <v>2800</v>
      </c>
      <c r="D33" s="706" t="s">
        <v>6833</v>
      </c>
      <c r="E33" s="6"/>
      <c r="G33" s="107" t="s">
        <v>6834</v>
      </c>
    </row>
    <row r="34" customFormat="false" ht="15" hidden="false" customHeight="true" outlineLevel="0" collapsed="false">
      <c r="B34" s="113" t="s">
        <v>6835</v>
      </c>
      <c r="C34" s="541" t="n">
        <f aca="false">'Esports · Revenue'!C31</f>
        <v>4328</v>
      </c>
      <c r="D34" s="706" t="s">
        <v>6836</v>
      </c>
      <c r="E34" s="6"/>
      <c r="G34" s="107" t="s">
        <v>6837</v>
      </c>
    </row>
    <row r="35" customFormat="false" ht="15" hidden="false" customHeight="true" outlineLevel="0" collapsed="false">
      <c r="B35" s="113" t="s">
        <v>6838</v>
      </c>
      <c r="C35" s="547" t="n">
        <f aca="false">'Esports · Drivers'!C32*12 + 'Esports · Drivers'!C33*12*'Esports · Drivers'!C28*(1-'Esports · Drivers'!C34)</f>
        <v>1305</v>
      </c>
      <c r="D35" s="706" t="s">
        <v>6839</v>
      </c>
      <c r="E35" s="6"/>
      <c r="G35" s="107" t="s">
        <v>6840</v>
      </c>
    </row>
    <row r="36" customFormat="false" ht="15" hidden="false" customHeight="true" outlineLevel="0" collapsed="false">
      <c r="B36" s="113" t="s">
        <v>6841</v>
      </c>
      <c r="C36" s="547" t="n">
        <f aca="false">'Esports · Revenue'!E7/('Esports · Revenue'!C31*12/2)</f>
        <v>13.425</v>
      </c>
      <c r="D36" s="706" t="s">
        <v>6842</v>
      </c>
      <c r="E36" s="6"/>
      <c r="G36" s="107" t="s">
        <v>6843</v>
      </c>
    </row>
    <row r="37" customFormat="false" ht="15" hidden="false" customHeight="true" outlineLevel="0" collapsed="false">
      <c r="B37" s="113" t="s">
        <v>6844</v>
      </c>
      <c r="C37" s="541" t="n">
        <f aca="false">'Esports · Drivers'!C35*'Esports · Drivers'!C36*12</f>
        <v>6048</v>
      </c>
      <c r="D37" s="706" t="s">
        <v>6845</v>
      </c>
      <c r="E37" s="6"/>
      <c r="G37" s="107" t="s">
        <v>6516</v>
      </c>
    </row>
    <row r="38" customFormat="false" ht="15" hidden="false" customHeight="true" outlineLevel="0" collapsed="false">
      <c r="B38" s="113" t="s">
        <v>6846</v>
      </c>
      <c r="C38" s="1218" t="n">
        <f aca="false">('Esports · Revenue'!E7+'Esports · Revenue'!E9)/'Esports · Revenue'!E12</f>
        <v>0.693312135518392</v>
      </c>
      <c r="D38" s="706" t="s">
        <v>5294</v>
      </c>
      <c r="E38" s="6"/>
      <c r="G38" s="107" t="s">
        <v>6847</v>
      </c>
    </row>
    <row r="39" customFormat="false" ht="15" hidden="false" customHeight="true" outlineLevel="0" collapsed="false">
      <c r="B39" s="113" t="s">
        <v>6848</v>
      </c>
      <c r="C39" s="1218" t="n">
        <f aca="false">'Esports · Revenue'!E8/'Esports · Revenue'!E12</f>
        <v>0.0726584516483954</v>
      </c>
      <c r="D39" s="706" t="s">
        <v>5299</v>
      </c>
      <c r="E39" s="6"/>
      <c r="G39" s="107" t="s">
        <v>6849</v>
      </c>
    </row>
    <row r="40" customFormat="false" ht="15" hidden="false" customHeight="true" outlineLevel="0" collapsed="false">
      <c r="B40" s="113" t="s">
        <v>6850</v>
      </c>
      <c r="C40" s="1218" t="n">
        <f aca="false">('Esports · Revenue'!E10+'Esports · Revenue'!E11)/'Esports · Revenue'!E12</f>
        <v>0.234029412833213</v>
      </c>
      <c r="D40" s="706" t="s">
        <v>6851</v>
      </c>
      <c r="E40" s="6"/>
      <c r="G40" s="107" t="s">
        <v>6852</v>
      </c>
    </row>
    <row r="41" customFormat="false" ht="15" hidden="false" customHeight="true" outlineLevel="0" collapsed="false">
      <c r="B41" s="6"/>
      <c r="E41" s="6"/>
    </row>
    <row r="42" customFormat="false" ht="33.75" hidden="false" customHeight="true" outlineLevel="0" collapsed="false">
      <c r="B42" s="96" t="s">
        <v>6183</v>
      </c>
      <c r="C42" s="96"/>
      <c r="D42" s="96"/>
      <c r="E42" s="96"/>
      <c r="F42" s="96"/>
      <c r="G42" s="96"/>
      <c r="H42" s="96"/>
      <c r="I42" s="96"/>
    </row>
    <row r="43" customFormat="false" ht="21.75" hidden="false" customHeight="true" outlineLevel="0" collapsed="false">
      <c r="B43" s="97" t="s">
        <v>6184</v>
      </c>
      <c r="C43" s="98" t="s">
        <v>6853</v>
      </c>
      <c r="D43" s="98" t="s">
        <v>6854</v>
      </c>
      <c r="E43" s="99" t="s">
        <v>5307</v>
      </c>
      <c r="F43" s="98" t="s">
        <v>4443</v>
      </c>
      <c r="G43" s="98" t="s">
        <v>778</v>
      </c>
    </row>
    <row r="44" customFormat="false" ht="15" hidden="false" customHeight="true" outlineLevel="0" collapsed="false">
      <c r="B44" s="113" t="s">
        <v>6855</v>
      </c>
      <c r="C44" s="706" t="s">
        <v>6856</v>
      </c>
      <c r="D44" s="690" t="s">
        <v>6857</v>
      </c>
      <c r="E44" s="863" t="s">
        <v>6858</v>
      </c>
      <c r="F44" s="690" t="s">
        <v>6859</v>
      </c>
      <c r="G44" s="107" t="s">
        <v>6860</v>
      </c>
    </row>
    <row r="45" customFormat="false" ht="15" hidden="false" customHeight="true" outlineLevel="0" collapsed="false">
      <c r="B45" s="126" t="s">
        <v>6861</v>
      </c>
      <c r="C45" s="706" t="s">
        <v>6862</v>
      </c>
      <c r="D45" s="690" t="s">
        <v>6863</v>
      </c>
      <c r="E45" s="863" t="s">
        <v>6864</v>
      </c>
      <c r="F45" s="690" t="s">
        <v>6865</v>
      </c>
      <c r="G45" s="107" t="s">
        <v>6866</v>
      </c>
    </row>
    <row r="46" customFormat="false" ht="15" hidden="false" customHeight="true" outlineLevel="0" collapsed="false">
      <c r="B46" s="113" t="s">
        <v>6867</v>
      </c>
      <c r="C46" s="706" t="s">
        <v>6868</v>
      </c>
      <c r="D46" s="690" t="s">
        <v>6768</v>
      </c>
      <c r="E46" s="863" t="s">
        <v>2350</v>
      </c>
      <c r="F46" s="690" t="s">
        <v>6869</v>
      </c>
      <c r="G46" s="107" t="s">
        <v>6870</v>
      </c>
    </row>
    <row r="47" customFormat="false" ht="15" hidden="false" customHeight="true" outlineLevel="0" collapsed="false">
      <c r="B47" s="113" t="s">
        <v>6871</v>
      </c>
      <c r="C47" s="706" t="s">
        <v>6872</v>
      </c>
      <c r="D47" s="690" t="s">
        <v>6768</v>
      </c>
      <c r="E47" s="863" t="s">
        <v>2350</v>
      </c>
      <c r="F47" s="690" t="s">
        <v>6768</v>
      </c>
      <c r="G47" s="107" t="s">
        <v>6873</v>
      </c>
    </row>
    <row r="48" customFormat="false" ht="15" hidden="false" customHeight="true" outlineLevel="0" collapsed="false">
      <c r="B48" s="113" t="s">
        <v>6874</v>
      </c>
      <c r="C48" s="706" t="s">
        <v>6875</v>
      </c>
      <c r="D48" s="690" t="s">
        <v>6768</v>
      </c>
      <c r="E48" s="863" t="s">
        <v>6868</v>
      </c>
      <c r="F48" s="690" t="s">
        <v>6876</v>
      </c>
      <c r="G48" s="107" t="s">
        <v>6877</v>
      </c>
    </row>
    <row r="49" customFormat="false" ht="15" hidden="false" customHeight="true" outlineLevel="0" collapsed="false">
      <c r="B49" s="663" t="s">
        <v>6878</v>
      </c>
      <c r="C49" s="706" t="s">
        <v>5226</v>
      </c>
      <c r="D49" s="690" t="s">
        <v>6768</v>
      </c>
      <c r="E49" s="863" t="s">
        <v>6879</v>
      </c>
      <c r="F49" s="1442" t="s">
        <v>6880</v>
      </c>
      <c r="G49" s="107" t="s">
        <v>6881</v>
      </c>
    </row>
    <row r="50" customFormat="false" ht="15" hidden="false" customHeight="true" outlineLevel="0" collapsed="false">
      <c r="B50" s="113" t="s">
        <v>6882</v>
      </c>
      <c r="C50" s="706" t="s">
        <v>6883</v>
      </c>
      <c r="D50" s="690" t="s">
        <v>6768</v>
      </c>
      <c r="E50" s="863" t="s">
        <v>6858</v>
      </c>
      <c r="F50" s="690" t="s">
        <v>6884</v>
      </c>
      <c r="G50" s="107" t="s">
        <v>6885</v>
      </c>
    </row>
    <row r="51" customFormat="false" ht="15" hidden="false" customHeight="true" outlineLevel="0" collapsed="false">
      <c r="B51" s="905" t="s">
        <v>6886</v>
      </c>
      <c r="C51" s="706" t="s">
        <v>6887</v>
      </c>
      <c r="D51" s="690" t="s">
        <v>6888</v>
      </c>
      <c r="E51" s="580" t="s">
        <v>6889</v>
      </c>
      <c r="F51" s="690" t="s">
        <v>6101</v>
      </c>
      <c r="G51" s="107" t="s">
        <v>6890</v>
      </c>
    </row>
    <row r="52" customFormat="false" ht="15" hidden="false" customHeight="true" outlineLevel="0" collapsed="false">
      <c r="B52" s="6"/>
      <c r="E52" s="6"/>
    </row>
    <row r="53" customFormat="false" ht="15" hidden="false" customHeight="true" outlineLevel="0" collapsed="false">
      <c r="B53" s="6"/>
      <c r="E53" s="6"/>
    </row>
    <row r="54" customFormat="false" ht="21.75" hidden="false" customHeight="true" outlineLevel="0" collapsed="false">
      <c r="B54" s="96" t="s">
        <v>6226</v>
      </c>
      <c r="C54" s="96"/>
      <c r="D54" s="96"/>
      <c r="E54" s="96"/>
      <c r="F54" s="96"/>
      <c r="G54" s="96"/>
      <c r="H54" s="96"/>
      <c r="I54" s="96"/>
    </row>
    <row r="55" customFormat="false" ht="15" hidden="false" customHeight="true" outlineLevel="0" collapsed="false">
      <c r="B55" s="1323" t="s">
        <v>6227</v>
      </c>
      <c r="E55" s="6"/>
    </row>
    <row r="56" customFormat="false" ht="15" hidden="false" customHeight="true" outlineLevel="0" collapsed="false">
      <c r="B56" s="6"/>
      <c r="C56" s="742" t="s">
        <v>6891</v>
      </c>
      <c r="D56" s="742"/>
      <c r="E56" s="742"/>
      <c r="F56" s="742"/>
      <c r="G56" s="742"/>
      <c r="H56" s="742"/>
      <c r="I56" s="742"/>
    </row>
    <row r="57" customFormat="false" ht="15" hidden="false" customHeight="true" outlineLevel="0" collapsed="false">
      <c r="B57" s="6"/>
      <c r="C57" s="742" t="s">
        <v>6892</v>
      </c>
      <c r="D57" s="742"/>
      <c r="E57" s="742"/>
      <c r="F57" s="742"/>
      <c r="G57" s="742"/>
      <c r="H57" s="742"/>
      <c r="I57" s="742"/>
    </row>
    <row r="58" customFormat="false" ht="15" hidden="false" customHeight="true" outlineLevel="0" collapsed="false">
      <c r="B58" s="6"/>
      <c r="C58" s="742" t="s">
        <v>6893</v>
      </c>
      <c r="D58" s="742"/>
      <c r="E58" s="742"/>
      <c r="F58" s="742"/>
      <c r="G58" s="742"/>
      <c r="H58" s="742"/>
      <c r="I58" s="742"/>
    </row>
    <row r="59" customFormat="false" ht="15" hidden="false" customHeight="true" outlineLevel="0" collapsed="false">
      <c r="B59" s="6"/>
      <c r="C59" s="742" t="s">
        <v>6894</v>
      </c>
      <c r="D59" s="742"/>
      <c r="E59" s="742"/>
      <c r="F59" s="742"/>
      <c r="G59" s="742"/>
      <c r="H59" s="742"/>
      <c r="I59" s="742"/>
    </row>
    <row r="60" customFormat="false" ht="15" hidden="false" customHeight="true" outlineLevel="0" collapsed="false">
      <c r="B60" s="6"/>
      <c r="C60" s="742" t="s">
        <v>6895</v>
      </c>
      <c r="D60" s="742"/>
      <c r="E60" s="742"/>
      <c r="F60" s="742"/>
      <c r="G60" s="742"/>
      <c r="H60" s="742"/>
      <c r="I60" s="742"/>
    </row>
    <row r="61" customFormat="false" ht="15" hidden="false" customHeight="true" outlineLevel="0" collapsed="false">
      <c r="B61" s="6"/>
      <c r="C61" s="742" t="s">
        <v>6896</v>
      </c>
      <c r="D61" s="742"/>
      <c r="E61" s="742"/>
      <c r="F61" s="742"/>
      <c r="G61" s="742"/>
      <c r="H61" s="742"/>
      <c r="I61" s="742"/>
    </row>
    <row r="62" customFormat="false" ht="15" hidden="false" customHeight="true" outlineLevel="0" collapsed="false">
      <c r="B62" s="6"/>
      <c r="C62" s="742" t="s">
        <v>6897</v>
      </c>
      <c r="D62" s="742"/>
      <c r="E62" s="742"/>
      <c r="F62" s="742"/>
      <c r="G62" s="742"/>
      <c r="H62" s="742"/>
      <c r="I62" s="742"/>
    </row>
    <row r="63" customFormat="false" ht="15" hidden="false" customHeight="true" outlineLevel="0" collapsed="false">
      <c r="B63" s="6"/>
      <c r="C63" s="742" t="s">
        <v>6898</v>
      </c>
      <c r="D63" s="742"/>
      <c r="E63" s="742"/>
      <c r="F63" s="742"/>
      <c r="G63" s="742"/>
      <c r="H63" s="742"/>
      <c r="I63" s="742"/>
    </row>
    <row r="64" customFormat="false" ht="15" hidden="false" customHeight="true" outlineLevel="0" collapsed="false">
      <c r="B64" s="6"/>
      <c r="C64" s="742" t="s">
        <v>6899</v>
      </c>
      <c r="D64" s="742"/>
      <c r="E64" s="742"/>
      <c r="F64" s="742"/>
      <c r="G64" s="742"/>
      <c r="H64" s="742"/>
      <c r="I64" s="742"/>
    </row>
    <row r="65" customFormat="false" ht="15" hidden="false" customHeight="true" outlineLevel="0" collapsed="false">
      <c r="B65" s="1323" t="s">
        <v>6900</v>
      </c>
      <c r="E65" s="6"/>
    </row>
    <row r="66" customFormat="false" ht="15" hidden="false" customHeight="true" outlineLevel="0" collapsed="false">
      <c r="B66" s="6"/>
      <c r="C66" s="742" t="s">
        <v>6901</v>
      </c>
      <c r="D66" s="742"/>
      <c r="E66" s="742"/>
      <c r="F66" s="742"/>
      <c r="G66" s="742"/>
      <c r="H66" s="742"/>
      <c r="I66" s="742"/>
    </row>
    <row r="67" customFormat="false" ht="15" hidden="false" customHeight="true" outlineLevel="0" collapsed="false">
      <c r="B67" s="6"/>
      <c r="C67" s="742" t="s">
        <v>6902</v>
      </c>
      <c r="D67" s="742"/>
      <c r="E67" s="742"/>
      <c r="F67" s="742"/>
      <c r="G67" s="742"/>
      <c r="H67" s="742"/>
      <c r="I67" s="742"/>
    </row>
    <row r="68" customFormat="false" ht="15" hidden="false" customHeight="true" outlineLevel="0" collapsed="false">
      <c r="B68" s="6"/>
      <c r="C68" s="742" t="s">
        <v>6903</v>
      </c>
      <c r="D68" s="742"/>
      <c r="E68" s="742"/>
      <c r="F68" s="742"/>
      <c r="G68" s="742"/>
      <c r="H68" s="742"/>
      <c r="I68" s="742"/>
    </row>
    <row r="69" customFormat="false" ht="15" hidden="false" customHeight="true" outlineLevel="0" collapsed="false">
      <c r="B69" s="6"/>
      <c r="C69" s="742" t="s">
        <v>6904</v>
      </c>
      <c r="D69" s="742"/>
      <c r="E69" s="742"/>
      <c r="F69" s="742"/>
      <c r="G69" s="742"/>
      <c r="H69" s="742"/>
      <c r="I69" s="742"/>
    </row>
    <row r="70" customFormat="false" ht="15" hidden="false" customHeight="true" outlineLevel="0" collapsed="false">
      <c r="B70" s="6"/>
      <c r="C70" s="742" t="s">
        <v>6905</v>
      </c>
      <c r="D70" s="742"/>
      <c r="E70" s="742"/>
      <c r="F70" s="742"/>
      <c r="G70" s="742"/>
      <c r="H70" s="742"/>
      <c r="I70" s="742"/>
    </row>
    <row r="71" customFormat="false" ht="15" hidden="false" customHeight="true" outlineLevel="0" collapsed="false">
      <c r="B71" s="1323" t="s">
        <v>5352</v>
      </c>
      <c r="E71" s="6"/>
    </row>
    <row r="72" customFormat="false" ht="15" hidden="false" customHeight="true" outlineLevel="0" collapsed="false">
      <c r="B72" s="6"/>
      <c r="C72" s="742" t="s">
        <v>6238</v>
      </c>
      <c r="D72" s="742"/>
      <c r="E72" s="742"/>
      <c r="F72" s="742"/>
      <c r="G72" s="742"/>
      <c r="H72" s="742"/>
      <c r="I72" s="742"/>
    </row>
    <row r="73" customFormat="false" ht="15" hidden="false" customHeight="true" outlineLevel="0" collapsed="false">
      <c r="B73" s="6"/>
      <c r="C73" s="742" t="s">
        <v>6906</v>
      </c>
      <c r="D73" s="742"/>
      <c r="E73" s="742"/>
      <c r="F73" s="742"/>
      <c r="G73" s="742"/>
      <c r="H73" s="742"/>
      <c r="I73" s="742"/>
    </row>
    <row r="74" customFormat="false" ht="15" hidden="false" customHeight="true" outlineLevel="0" collapsed="false">
      <c r="B74" s="6"/>
      <c r="E74" s="6"/>
    </row>
    <row r="75" customFormat="false" ht="120" hidden="false" customHeight="true" outlineLevel="0" collapsed="false">
      <c r="B75" s="602" t="s">
        <v>6907</v>
      </c>
      <c r="C75" s="602"/>
      <c r="D75" s="602"/>
      <c r="E75" s="602"/>
      <c r="F75" s="602"/>
      <c r="G75" s="602"/>
      <c r="H75" s="602"/>
      <c r="I75" s="602"/>
    </row>
  </sheetData>
  <mergeCells count="25">
    <mergeCell ref="B2:F2"/>
    <mergeCell ref="G2:I2"/>
    <mergeCell ref="B3:I3"/>
    <mergeCell ref="B5:I5"/>
    <mergeCell ref="B17:I17"/>
    <mergeCell ref="B29:I29"/>
    <mergeCell ref="B42:I42"/>
    <mergeCell ref="B54:I54"/>
    <mergeCell ref="C56:I56"/>
    <mergeCell ref="C57:I57"/>
    <mergeCell ref="C58:I58"/>
    <mergeCell ref="C59:I59"/>
    <mergeCell ref="C60:I60"/>
    <mergeCell ref="C61:I61"/>
    <mergeCell ref="C62:I62"/>
    <mergeCell ref="C63:I63"/>
    <mergeCell ref="C64:I64"/>
    <mergeCell ref="C66:I66"/>
    <mergeCell ref="C67:I67"/>
    <mergeCell ref="C68:I68"/>
    <mergeCell ref="C69:I69"/>
    <mergeCell ref="C70:I70"/>
    <mergeCell ref="C72:I72"/>
    <mergeCell ref="C73:I73"/>
    <mergeCell ref="B75:I75"/>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0772D"/>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1" min="5" style="0" width="9"/>
  </cols>
  <sheetData>
    <row r="1" customFormat="false" ht="3.75" hidden="false" customHeight="true" outlineLevel="0" collapsed="false">
      <c r="B1" s="1"/>
      <c r="C1" s="1"/>
      <c r="D1" s="2"/>
      <c r="E1" s="2"/>
      <c r="F1" s="2"/>
      <c r="G1" s="2"/>
      <c r="H1" s="2"/>
      <c r="I1" s="2"/>
      <c r="J1" s="2"/>
      <c r="K1" s="2"/>
    </row>
    <row r="2" customFormat="false" ht="27.75" hidden="false" customHeight="true" outlineLevel="0" collapsed="false">
      <c r="B2" s="88" t="s">
        <v>6908</v>
      </c>
      <c r="C2" s="88"/>
      <c r="D2" s="88"/>
      <c r="E2" s="88"/>
      <c r="F2" s="88"/>
      <c r="G2" s="88"/>
      <c r="H2" s="89" t="s">
        <v>995</v>
      </c>
      <c r="I2" s="89"/>
      <c r="J2" s="89"/>
      <c r="K2" s="89"/>
    </row>
    <row r="3" customFormat="false" ht="18" hidden="false" customHeight="true" outlineLevel="0" collapsed="false">
      <c r="B3" s="90" t="s">
        <v>6243</v>
      </c>
      <c r="C3" s="90"/>
      <c r="D3" s="90"/>
      <c r="E3" s="90"/>
      <c r="F3" s="90"/>
      <c r="G3" s="90"/>
      <c r="H3" s="90"/>
      <c r="I3" s="90"/>
      <c r="J3" s="90"/>
      <c r="K3" s="90"/>
    </row>
    <row r="4" customFormat="false" ht="15" hidden="false" customHeight="true" outlineLevel="0" collapsed="false">
      <c r="B4" s="6"/>
      <c r="C4" s="6"/>
    </row>
    <row r="5" customFormat="false" ht="33.75" hidden="false" customHeight="true" outlineLevel="0" collapsed="false">
      <c r="B5" s="96" t="s">
        <v>6244</v>
      </c>
      <c r="C5" s="96"/>
      <c r="D5" s="96"/>
      <c r="E5" s="96"/>
      <c r="F5" s="96"/>
      <c r="G5" s="96"/>
      <c r="H5" s="96"/>
      <c r="I5" s="96"/>
      <c r="J5" s="96"/>
      <c r="K5" s="96"/>
    </row>
    <row r="6" customFormat="false" ht="21.75" hidden="false" customHeight="true" outlineLevel="0" collapsed="false">
      <c r="B6" s="97" t="s">
        <v>4477</v>
      </c>
      <c r="C6" s="99" t="s">
        <v>4478</v>
      </c>
      <c r="D6" s="98" t="s">
        <v>86</v>
      </c>
    </row>
    <row r="7" customFormat="false" ht="15" hidden="false" customHeight="true" outlineLevel="0" collapsed="false">
      <c r="B7" s="113" t="s">
        <v>6909</v>
      </c>
      <c r="C7" s="1404" t="n">
        <f aca="false">'Esports · Revenue'!E12</f>
        <v>693656.4</v>
      </c>
      <c r="D7" s="634" t="s">
        <v>6246</v>
      </c>
    </row>
    <row r="8" customFormat="false" ht="15" hidden="false" customHeight="true" outlineLevel="0" collapsed="false">
      <c r="B8" s="113" t="s">
        <v>6910</v>
      </c>
      <c r="C8" s="1404" t="n">
        <f aca="false">'Esports · Costs'!C36</f>
        <v>477658</v>
      </c>
      <c r="D8" s="634" t="s">
        <v>6248</v>
      </c>
    </row>
    <row r="9" customFormat="false" ht="15" hidden="false" customHeight="true" outlineLevel="0" collapsed="false">
      <c r="B9" s="113" t="s">
        <v>6911</v>
      </c>
      <c r="C9" s="1404" t="n">
        <f aca="false">'Esports · 8-Year'!C11</f>
        <v>554925.12</v>
      </c>
      <c r="D9" s="634" t="s">
        <v>3457</v>
      </c>
    </row>
    <row r="10" customFormat="false" ht="15" hidden="false" customHeight="true" outlineLevel="0" collapsed="false">
      <c r="B10" s="113" t="s">
        <v>6912</v>
      </c>
      <c r="C10" s="1404" t="n">
        <f aca="false">'Esports · 8-Year'!D11</f>
        <v>643019.4828</v>
      </c>
      <c r="D10" s="634" t="s">
        <v>6251</v>
      </c>
    </row>
    <row r="11" customFormat="false" ht="15" hidden="false" customHeight="true" outlineLevel="0" collapsed="false">
      <c r="B11" s="113" t="s">
        <v>6913</v>
      </c>
      <c r="C11" s="1404" t="n">
        <f aca="false">'Esports · 8-Year'!E11</f>
        <v>735900.07476</v>
      </c>
      <c r="D11" s="634" t="s">
        <v>6253</v>
      </c>
    </row>
    <row r="12" customFormat="false" ht="15" hidden="false" customHeight="true" outlineLevel="0" collapsed="false">
      <c r="B12" s="113" t="s">
        <v>6914</v>
      </c>
      <c r="C12" s="1404" t="n">
        <f aca="false">'Esports · 8-Year'!F11</f>
        <v>757977.0770028</v>
      </c>
      <c r="D12" s="634" t="s">
        <v>137</v>
      </c>
    </row>
    <row r="13" customFormat="false" ht="15" hidden="false" customHeight="true" outlineLevel="0" collapsed="false">
      <c r="B13" s="113" t="s">
        <v>6915</v>
      </c>
      <c r="C13" s="1404" t="n">
        <f aca="false">'Esports · 8-Year'!G11</f>
        <v>780716.389312884</v>
      </c>
      <c r="D13" s="634" t="s">
        <v>6256</v>
      </c>
    </row>
    <row r="14" customFormat="false" ht="15" hidden="false" customHeight="true" outlineLevel="0" collapsed="false">
      <c r="B14" s="6"/>
      <c r="C14" s="6"/>
    </row>
    <row r="15" customFormat="false" ht="15" hidden="false" customHeight="true" outlineLevel="0" collapsed="false">
      <c r="B15" s="6"/>
      <c r="C15" s="6"/>
    </row>
    <row r="16" customFormat="false" ht="21.75" hidden="false" customHeight="true" outlineLevel="0" collapsed="false">
      <c r="B16" s="72" t="s">
        <v>4495</v>
      </c>
      <c r="C16" s="72"/>
      <c r="D16" s="72"/>
      <c r="E16" s="72"/>
      <c r="F16" s="72"/>
      <c r="G16" s="72"/>
      <c r="H16" s="72"/>
      <c r="I16" s="72"/>
      <c r="J16" s="72"/>
      <c r="K16" s="72"/>
    </row>
    <row r="17" customFormat="false" ht="120" hidden="false" customHeight="true" outlineLevel="0" collapsed="false">
      <c r="B17" s="1398" t="s">
        <v>6916</v>
      </c>
      <c r="C17" s="1398"/>
      <c r="D17" s="1398"/>
    </row>
    <row r="18" customFormat="false" ht="15" hidden="false" customHeight="true" outlineLevel="0" collapsed="false">
      <c r="B18" s="1398"/>
      <c r="C18" s="1398"/>
      <c r="D18" s="1398"/>
    </row>
    <row r="19" customFormat="false" ht="15" hidden="false" customHeight="true" outlineLevel="0" collapsed="false">
      <c r="B19" s="1398"/>
      <c r="C19" s="1398"/>
      <c r="D19" s="1398"/>
    </row>
    <row r="20" customFormat="false" ht="15" hidden="false" customHeight="true" outlineLevel="0" collapsed="false">
      <c r="B20" s="1398"/>
      <c r="C20" s="1398"/>
      <c r="D20" s="1398"/>
    </row>
    <row r="21" customFormat="false" ht="15" hidden="false" customHeight="true" outlineLevel="0" collapsed="false">
      <c r="B21" s="1398"/>
      <c r="C21" s="1398"/>
      <c r="D21" s="1398"/>
    </row>
    <row r="22" customFormat="false" ht="15" hidden="false" customHeight="true" outlineLevel="0" collapsed="false">
      <c r="B22" s="6"/>
      <c r="C22" s="6"/>
    </row>
    <row r="23" customFormat="false" ht="21.75" hidden="false" customHeight="true" outlineLevel="0" collapsed="false">
      <c r="B23" s="304" t="s">
        <v>6258</v>
      </c>
      <c r="C23" s="304"/>
      <c r="D23" s="304"/>
      <c r="E23" s="304"/>
      <c r="F23" s="304"/>
      <c r="G23" s="304"/>
      <c r="H23" s="304"/>
      <c r="I23" s="304"/>
      <c r="J23" s="304"/>
      <c r="K23" s="304"/>
    </row>
    <row r="24" customFormat="false" ht="108.75" hidden="false" customHeight="true" outlineLevel="0" collapsed="false">
      <c r="B24" s="85" t="s">
        <v>6259</v>
      </c>
      <c r="C24" s="85"/>
      <c r="D24" s="85"/>
    </row>
    <row r="25" customFormat="false" ht="15" hidden="false" customHeight="true" outlineLevel="0" collapsed="false">
      <c r="B25" s="85"/>
      <c r="C25" s="85"/>
      <c r="D25" s="85"/>
    </row>
    <row r="26" customFormat="false" ht="15" hidden="false" customHeight="true" outlineLevel="0" collapsed="false">
      <c r="B26" s="85"/>
      <c r="C26" s="85"/>
      <c r="D26" s="85"/>
    </row>
  </sheetData>
  <mergeCells count="8">
    <mergeCell ref="B2:G2"/>
    <mergeCell ref="H2:K2"/>
    <mergeCell ref="B3:K3"/>
    <mergeCell ref="B5:K5"/>
    <mergeCell ref="B16:K16"/>
    <mergeCell ref="B17:D21"/>
    <mergeCell ref="B23:K23"/>
    <mergeCell ref="B24:D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A1:K8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E31" activeCellId="0" sqref="E3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68.16"/>
    <col collapsed="false" customWidth="true" hidden="false" outlineLevel="0" max="3" min="3" style="0" width="9"/>
    <col collapsed="false" customWidth="true" hidden="false" outlineLevel="0" max="4" min="4" style="0" width="29.33"/>
    <col collapsed="false" customWidth="true" hidden="false" outlineLevel="0" max="5" min="5" style="0" width="41.67"/>
    <col collapsed="false" customWidth="true" hidden="false" outlineLevel="0" max="9" min="6" style="0" width="14"/>
    <col collapsed="false" customWidth="true" hidden="false" outlineLevel="0" max="10" min="10" style="0" width="11"/>
    <col collapsed="false" customWidth="true" hidden="false" outlineLevel="0" max="11" min="11" style="0" width="9"/>
  </cols>
  <sheetData>
    <row r="1" customFormat="false" ht="3.75" hidden="false" customHeight="true" outlineLevel="0" collapsed="false">
      <c r="A1" s="314"/>
      <c r="B1" s="315"/>
      <c r="C1" s="316"/>
      <c r="D1" s="316"/>
      <c r="E1" s="316"/>
      <c r="F1" s="316"/>
      <c r="G1" s="315"/>
      <c r="H1" s="316"/>
      <c r="I1" s="316"/>
      <c r="J1" s="315"/>
      <c r="K1" s="316"/>
    </row>
    <row r="2" customFormat="false" ht="36" hidden="false" customHeight="true" outlineLevel="0" collapsed="false">
      <c r="A2" s="314"/>
      <c r="B2" s="88" t="s">
        <v>1048</v>
      </c>
      <c r="C2" s="88"/>
      <c r="D2" s="88"/>
      <c r="E2" s="88"/>
      <c r="F2" s="88"/>
      <c r="G2" s="88"/>
      <c r="H2" s="88"/>
      <c r="I2" s="89" t="s">
        <v>198</v>
      </c>
      <c r="J2" s="89"/>
      <c r="K2" s="89"/>
    </row>
    <row r="3" customFormat="false" ht="36" hidden="false" customHeight="true" outlineLevel="0" collapsed="false">
      <c r="A3" s="314"/>
      <c r="B3" s="90" t="s">
        <v>1049</v>
      </c>
      <c r="C3" s="90"/>
      <c r="D3" s="90"/>
      <c r="E3" s="90"/>
      <c r="F3" s="90"/>
      <c r="G3" s="90"/>
      <c r="H3" s="90"/>
      <c r="I3" s="90"/>
      <c r="J3" s="90"/>
      <c r="K3" s="90"/>
    </row>
    <row r="4" customFormat="false" ht="15" hidden="false" customHeight="true" outlineLevel="0" collapsed="false">
      <c r="A4" s="314"/>
      <c r="B4" s="317"/>
      <c r="C4" s="314"/>
      <c r="D4" s="314"/>
      <c r="E4" s="314"/>
      <c r="F4" s="314"/>
      <c r="G4" s="317"/>
      <c r="H4" s="314"/>
      <c r="I4" s="314"/>
      <c r="J4" s="317"/>
      <c r="K4" s="314"/>
    </row>
    <row r="5" customFormat="false" ht="66" hidden="false" customHeight="true" outlineLevel="0" collapsed="false">
      <c r="A5" s="314"/>
      <c r="B5" s="318" t="str">
        <f aca="false">"◆ SECTION A — CAPITAL STRUCTURE (Total Project Value $"&amp;TEXT(CapEx!E54/1000000,"0.00")&amp;"M = Cash CapEx $"&amp;TEXT(CapEx!E55/1000000,"0.00")&amp;"M + Contributed Assets $"&amp;TEXT(CapEx!E56/1000000,"0.00")&amp;"M)"</f>
        <v>◆ SECTION A — CAPITAL STRUCTURE (Total Project Value $28.28M = Cash CapEx $19.09M + Contributed Assets $9.19M)</v>
      </c>
      <c r="G5" s="6"/>
      <c r="J5" s="6"/>
    </row>
    <row r="6" customFormat="false" ht="21.75" hidden="false" customHeight="true" outlineLevel="0" collapsed="false">
      <c r="A6" s="314"/>
      <c r="B6" s="319" t="s">
        <v>1050</v>
      </c>
      <c r="C6" s="319"/>
      <c r="D6" s="98" t="s">
        <v>1051</v>
      </c>
      <c r="E6" s="98" t="s">
        <v>224</v>
      </c>
      <c r="F6" s="98" t="s">
        <v>1052</v>
      </c>
      <c r="G6" s="320" t="s">
        <v>778</v>
      </c>
      <c r="H6" s="320"/>
      <c r="I6" s="320"/>
      <c r="J6" s="320"/>
      <c r="K6" s="320"/>
    </row>
    <row r="7" customFormat="false" ht="36" hidden="false" customHeight="true" outlineLevel="0" collapsed="false">
      <c r="A7" s="314"/>
      <c r="B7" s="321" t="s">
        <v>1053</v>
      </c>
      <c r="D7" s="322"/>
      <c r="E7" s="322"/>
      <c r="F7" s="322"/>
      <c r="G7" s="323" t="s">
        <v>1054</v>
      </c>
      <c r="H7" s="323"/>
      <c r="I7" s="323"/>
      <c r="J7" s="323"/>
      <c r="K7" s="323"/>
    </row>
    <row r="8" customFormat="false" ht="15" hidden="false" customHeight="true" outlineLevel="0" collapsed="false">
      <c r="A8" s="314"/>
      <c r="B8" s="324"/>
      <c r="C8" s="324"/>
      <c r="D8" s="325" t="s">
        <v>1055</v>
      </c>
      <c r="E8" s="326" t="n">
        <v>3000000</v>
      </c>
      <c r="F8" s="327" t="n">
        <v>0.122699386503068</v>
      </c>
      <c r="G8" s="317"/>
      <c r="H8" s="314"/>
      <c r="I8" s="314"/>
      <c r="J8" s="317"/>
      <c r="K8" s="314"/>
    </row>
    <row r="9" customFormat="false" ht="15" hidden="false" customHeight="true" outlineLevel="0" collapsed="false">
      <c r="A9" s="314"/>
      <c r="B9" s="324"/>
      <c r="C9" s="324"/>
      <c r="D9" s="325" t="s">
        <v>1056</v>
      </c>
      <c r="E9" s="326" t="n">
        <v>40000</v>
      </c>
      <c r="F9" s="327" t="n">
        <v>0.0016359918200409</v>
      </c>
      <c r="G9" s="317"/>
      <c r="H9" s="314"/>
      <c r="I9" s="314"/>
      <c r="J9" s="317"/>
      <c r="K9" s="314"/>
    </row>
    <row r="10" customFormat="false" ht="15" hidden="false" customHeight="true" outlineLevel="0" collapsed="false">
      <c r="A10" s="314"/>
      <c r="B10" s="324"/>
      <c r="C10" s="324"/>
      <c r="D10" s="325" t="s">
        <v>1057</v>
      </c>
      <c r="E10" s="326" t="n">
        <v>6150000</v>
      </c>
      <c r="F10" s="327" t="n">
        <v>0.128834355828221</v>
      </c>
      <c r="G10" s="134" t="s">
        <v>1058</v>
      </c>
      <c r="H10" s="134"/>
      <c r="I10" s="134"/>
      <c r="J10" s="134"/>
      <c r="K10" s="134"/>
    </row>
    <row r="11" customFormat="false" ht="21.75" hidden="false" customHeight="true" outlineLevel="0" collapsed="false">
      <c r="A11" s="314"/>
      <c r="B11" s="328" t="s">
        <v>1059</v>
      </c>
      <c r="C11" s="328"/>
      <c r="D11" s="328"/>
      <c r="E11" s="329" t="n">
        <f aca="false">SUM(E8:E10)</f>
        <v>9190000</v>
      </c>
      <c r="F11" s="330" t="n">
        <v>0.253169734151329</v>
      </c>
      <c r="G11" s="331"/>
      <c r="H11" s="331"/>
      <c r="I11" s="331"/>
      <c r="J11" s="331"/>
      <c r="K11" s="331"/>
    </row>
    <row r="12" customFormat="false" ht="21.75" hidden="false" customHeight="true" outlineLevel="0" collapsed="false">
      <c r="A12" s="314"/>
      <c r="B12" s="332" t="s">
        <v>1060</v>
      </c>
      <c r="C12" s="332"/>
      <c r="D12" s="322"/>
      <c r="E12" s="322"/>
      <c r="F12" s="322"/>
      <c r="G12" s="323" t="s">
        <v>1061</v>
      </c>
      <c r="H12" s="323"/>
      <c r="I12" s="323"/>
      <c r="J12" s="323"/>
      <c r="K12" s="323"/>
    </row>
    <row r="13" customFormat="false" ht="15" hidden="false" customHeight="true" outlineLevel="0" collapsed="false">
      <c r="A13" s="314"/>
      <c r="B13" s="324"/>
      <c r="C13" s="324"/>
      <c r="D13" s="325" t="s">
        <v>1062</v>
      </c>
      <c r="E13" s="326" t="n">
        <v>3000000</v>
      </c>
      <c r="F13" s="327" t="n">
        <v>0.137423312883436</v>
      </c>
      <c r="G13" s="134" t="s">
        <v>1063</v>
      </c>
      <c r="H13" s="134"/>
      <c r="I13" s="134"/>
      <c r="J13" s="134"/>
      <c r="K13" s="134"/>
    </row>
    <row r="14" customFormat="false" ht="15" hidden="false" customHeight="true" outlineLevel="0" collapsed="false">
      <c r="A14" s="314"/>
      <c r="B14" s="324"/>
      <c r="C14" s="324"/>
      <c r="D14" s="325" t="s">
        <v>1064</v>
      </c>
      <c r="E14" s="326" t="n">
        <v>100000</v>
      </c>
      <c r="F14" s="327" t="n">
        <v>0.0081799591002045</v>
      </c>
      <c r="G14" s="317"/>
      <c r="H14" s="314"/>
      <c r="I14" s="314"/>
      <c r="J14" s="317"/>
      <c r="K14" s="314"/>
    </row>
    <row r="15" customFormat="false" ht="15" hidden="false" customHeight="true" outlineLevel="0" collapsed="false">
      <c r="A15" s="314"/>
      <c r="B15" s="324"/>
      <c r="C15" s="324"/>
      <c r="D15" s="325" t="s">
        <v>1065</v>
      </c>
      <c r="E15" s="326" t="n">
        <v>200000</v>
      </c>
      <c r="F15" s="327" t="n">
        <v>0.0081799591002045</v>
      </c>
      <c r="G15" s="317"/>
      <c r="H15" s="314"/>
      <c r="I15" s="314"/>
      <c r="J15" s="317"/>
      <c r="K15" s="314"/>
    </row>
    <row r="16" customFormat="false" ht="15" hidden="false" customHeight="true" outlineLevel="0" collapsed="false">
      <c r="A16" s="314"/>
      <c r="B16" s="324"/>
      <c r="C16" s="324"/>
      <c r="D16" s="325" t="s">
        <v>1066</v>
      </c>
      <c r="E16" s="326" t="n">
        <v>650000</v>
      </c>
      <c r="F16" s="327" t="n">
        <v>0.032719836400818</v>
      </c>
      <c r="G16" s="317"/>
      <c r="H16" s="314"/>
      <c r="I16" s="314"/>
      <c r="J16" s="317"/>
      <c r="K16" s="314"/>
    </row>
    <row r="17" customFormat="false" ht="21.75" hidden="false" customHeight="true" outlineLevel="0" collapsed="false">
      <c r="A17" s="314"/>
      <c r="B17" s="328" t="s">
        <v>1067</v>
      </c>
      <c r="C17" s="328"/>
      <c r="D17" s="328"/>
      <c r="E17" s="329" t="n">
        <f aca="false">SUM(E13:E16)</f>
        <v>3950000</v>
      </c>
      <c r="F17" s="330" t="n">
        <v>0.186503067484663</v>
      </c>
      <c r="G17" s="331"/>
      <c r="H17" s="331"/>
      <c r="I17" s="331"/>
      <c r="J17" s="331"/>
      <c r="K17" s="331"/>
    </row>
    <row r="18" customFormat="false" ht="21.75" hidden="false" customHeight="true" outlineLevel="0" collapsed="false">
      <c r="A18" s="314"/>
      <c r="B18" s="332" t="s">
        <v>1068</v>
      </c>
      <c r="C18" s="332"/>
      <c r="D18" s="322"/>
      <c r="E18" s="322"/>
      <c r="F18" s="322"/>
      <c r="G18" s="323" t="s">
        <v>1069</v>
      </c>
      <c r="H18" s="323"/>
      <c r="I18" s="323"/>
      <c r="J18" s="323"/>
      <c r="K18" s="323"/>
    </row>
    <row r="19" customFormat="false" ht="15" hidden="false" customHeight="true" outlineLevel="0" collapsed="false">
      <c r="A19" s="314"/>
      <c r="B19" s="324"/>
      <c r="C19" s="324"/>
      <c r="D19" s="325" t="s">
        <v>1070</v>
      </c>
      <c r="E19" s="326" t="n">
        <v>3000000</v>
      </c>
      <c r="F19" s="327" t="n">
        <v>0.0715746421267894</v>
      </c>
      <c r="G19" s="317"/>
      <c r="H19" s="314"/>
      <c r="I19" s="314"/>
      <c r="J19" s="317"/>
      <c r="K19" s="314"/>
    </row>
    <row r="20" customFormat="false" ht="15" hidden="false" customHeight="true" outlineLevel="0" collapsed="false">
      <c r="A20" s="314"/>
      <c r="B20" s="324"/>
      <c r="C20" s="324"/>
      <c r="D20" s="325" t="s">
        <v>1071</v>
      </c>
      <c r="E20" s="326" t="n">
        <v>1900000</v>
      </c>
      <c r="F20" s="327" t="n">
        <v>0.0920245398773006</v>
      </c>
      <c r="G20" s="317"/>
      <c r="H20" s="314"/>
      <c r="I20" s="314"/>
      <c r="J20" s="317"/>
      <c r="K20" s="314"/>
    </row>
    <row r="21" customFormat="false" ht="15" hidden="false" customHeight="true" outlineLevel="0" collapsed="false">
      <c r="A21" s="314"/>
      <c r="B21" s="324"/>
      <c r="C21" s="324"/>
      <c r="D21" s="325" t="s">
        <v>1072</v>
      </c>
      <c r="E21" s="326" t="n">
        <f aca="false">(E19+E20)*20%</f>
        <v>980000</v>
      </c>
      <c r="F21" s="327" t="n">
        <v>0.032719836400818</v>
      </c>
      <c r="G21" s="317"/>
      <c r="H21" s="314"/>
      <c r="I21" s="314"/>
      <c r="J21" s="317"/>
      <c r="K21" s="314"/>
    </row>
    <row r="22" customFormat="false" ht="21.75" hidden="false" customHeight="true" outlineLevel="0" collapsed="false">
      <c r="A22" s="314"/>
      <c r="B22" s="328" t="s">
        <v>1073</v>
      </c>
      <c r="C22" s="328"/>
      <c r="D22" s="328"/>
      <c r="E22" s="329" t="n">
        <f aca="false">SUM(E19:E21)</f>
        <v>5880000</v>
      </c>
      <c r="F22" s="330" t="n">
        <v>0.196319018404908</v>
      </c>
      <c r="G22" s="331"/>
      <c r="H22" s="331"/>
      <c r="I22" s="331"/>
      <c r="J22" s="331"/>
      <c r="K22" s="331"/>
    </row>
    <row r="23" customFormat="false" ht="21.75" hidden="false" customHeight="true" outlineLevel="0" collapsed="false">
      <c r="A23" s="314"/>
      <c r="B23" s="332" t="s">
        <v>1074</v>
      </c>
      <c r="C23" s="332"/>
      <c r="D23" s="322"/>
      <c r="E23" s="322"/>
      <c r="F23" s="322"/>
      <c r="G23" s="323" t="s">
        <v>1075</v>
      </c>
      <c r="H23" s="323"/>
      <c r="I23" s="323"/>
      <c r="J23" s="323"/>
      <c r="K23" s="323"/>
    </row>
    <row r="24" customFormat="false" ht="15" hidden="false" customHeight="true" outlineLevel="0" collapsed="false">
      <c r="A24" s="314"/>
      <c r="B24" s="324"/>
      <c r="C24" s="324"/>
      <c r="D24" s="325" t="s">
        <v>1076</v>
      </c>
      <c r="E24" s="326" t="n">
        <v>350000</v>
      </c>
      <c r="F24" s="327" t="n">
        <v>0.0143149284253579</v>
      </c>
      <c r="G24" s="317"/>
      <c r="H24" s="314"/>
      <c r="I24" s="314"/>
      <c r="J24" s="317"/>
      <c r="K24" s="314"/>
    </row>
    <row r="25" customFormat="false" ht="15" hidden="false" customHeight="true" outlineLevel="0" collapsed="false">
      <c r="A25" s="314"/>
      <c r="B25" s="324"/>
      <c r="C25" s="324"/>
      <c r="D25" s="325" t="s">
        <v>1077</v>
      </c>
      <c r="E25" s="326" t="n">
        <v>800000</v>
      </c>
      <c r="F25" s="327" t="n">
        <v>0.0286298568507158</v>
      </c>
      <c r="G25" s="317"/>
      <c r="H25" s="314"/>
      <c r="I25" s="314"/>
      <c r="J25" s="317"/>
      <c r="K25" s="314"/>
    </row>
    <row r="26" customFormat="false" ht="36" hidden="false" customHeight="true" outlineLevel="0" collapsed="false">
      <c r="A26" s="314"/>
      <c r="B26" s="324"/>
      <c r="C26" s="324"/>
      <c r="D26" s="325" t="s">
        <v>1078</v>
      </c>
      <c r="E26" s="326" t="n">
        <v>950000</v>
      </c>
      <c r="F26" s="327" t="n">
        <v>0.032719836400818</v>
      </c>
      <c r="G26" s="134" t="s">
        <v>1079</v>
      </c>
      <c r="H26" s="134"/>
      <c r="I26" s="134"/>
      <c r="J26" s="134"/>
      <c r="K26" s="134"/>
    </row>
    <row r="27" customFormat="false" ht="15" hidden="false" customHeight="true" outlineLevel="0" collapsed="false">
      <c r="A27" s="314"/>
      <c r="B27" s="324"/>
      <c r="C27" s="324"/>
      <c r="D27" s="325" t="s">
        <v>616</v>
      </c>
      <c r="E27" s="326" t="n">
        <v>1200000</v>
      </c>
      <c r="F27" s="327" t="n">
        <v>0.0408997955010225</v>
      </c>
      <c r="G27" s="317"/>
      <c r="H27" s="314"/>
      <c r="I27" s="314"/>
      <c r="J27" s="317"/>
      <c r="K27" s="314"/>
    </row>
    <row r="28" customFormat="false" ht="15" hidden="false" customHeight="true" outlineLevel="0" collapsed="false">
      <c r="A28" s="314"/>
      <c r="B28" s="324"/>
      <c r="C28" s="324"/>
      <c r="D28" s="325" t="s">
        <v>1080</v>
      </c>
      <c r="E28" s="326" t="n">
        <v>150000</v>
      </c>
      <c r="F28" s="327" t="n">
        <v>0.00613496932515337</v>
      </c>
      <c r="G28" s="317"/>
      <c r="H28" s="314"/>
      <c r="I28" s="314"/>
      <c r="J28" s="317"/>
      <c r="K28" s="314"/>
    </row>
    <row r="29" customFormat="false" ht="15" hidden="false" customHeight="true" outlineLevel="0" collapsed="false">
      <c r="A29" s="314"/>
      <c r="B29" s="324"/>
      <c r="C29" s="324"/>
      <c r="D29" s="325" t="s">
        <v>1081</v>
      </c>
      <c r="E29" s="326" t="n">
        <v>150000</v>
      </c>
      <c r="F29" s="327" t="n">
        <v>0.00613496932515337</v>
      </c>
      <c r="G29" s="317"/>
      <c r="H29" s="314"/>
      <c r="I29" s="314"/>
      <c r="J29" s="317"/>
      <c r="K29" s="314"/>
    </row>
    <row r="30" customFormat="false" ht="15" hidden="false" customHeight="true" outlineLevel="0" collapsed="false">
      <c r="A30" s="314"/>
      <c r="B30" s="324"/>
      <c r="C30" s="324"/>
      <c r="D30" s="325" t="s">
        <v>1082</v>
      </c>
      <c r="E30" s="326" t="n">
        <v>100000</v>
      </c>
      <c r="F30" s="327" t="n">
        <v>0.00408997955010225</v>
      </c>
      <c r="G30" s="317"/>
      <c r="H30" s="314"/>
      <c r="I30" s="314"/>
      <c r="J30" s="317"/>
      <c r="K30" s="314"/>
    </row>
    <row r="31" customFormat="false" ht="15" hidden="false" customHeight="true" outlineLevel="0" collapsed="false">
      <c r="A31" s="314"/>
      <c r="B31" s="324"/>
      <c r="C31" s="324"/>
      <c r="D31" s="325" t="s">
        <v>1083</v>
      </c>
      <c r="E31" s="326" t="n">
        <v>200000</v>
      </c>
      <c r="F31" s="327" t="n">
        <v>0.00408997955010225</v>
      </c>
      <c r="G31" s="317"/>
      <c r="H31" s="314"/>
      <c r="I31" s="314"/>
      <c r="J31" s="317"/>
      <c r="K31" s="314"/>
    </row>
    <row r="32" customFormat="false" ht="15" hidden="false" customHeight="true" outlineLevel="0" collapsed="false">
      <c r="A32" s="314"/>
      <c r="B32" s="324"/>
      <c r="C32" s="324"/>
      <c r="D32" s="325" t="s">
        <v>1084</v>
      </c>
      <c r="E32" s="326" t="n">
        <v>150000</v>
      </c>
      <c r="F32" s="327" t="n">
        <v>0.00613496932515337</v>
      </c>
      <c r="G32" s="317"/>
      <c r="H32" s="314"/>
      <c r="I32" s="314"/>
      <c r="J32" s="317"/>
      <c r="K32" s="314"/>
    </row>
    <row r="33" customFormat="false" ht="15" hidden="false" customHeight="true" outlineLevel="0" collapsed="false">
      <c r="A33" s="314"/>
      <c r="B33" s="324"/>
      <c r="C33" s="324"/>
      <c r="D33" s="325" t="s">
        <v>412</v>
      </c>
      <c r="E33" s="326" t="n">
        <f aca="false">SUM(E24:E32)*20%</f>
        <v>810000</v>
      </c>
      <c r="F33" s="327" t="n">
        <v>0.032719836400818</v>
      </c>
      <c r="G33" s="317"/>
      <c r="H33" s="314"/>
      <c r="I33" s="314"/>
      <c r="J33" s="317"/>
      <c r="K33" s="314"/>
    </row>
    <row r="34" customFormat="false" ht="21.75" hidden="false" customHeight="true" outlineLevel="0" collapsed="false">
      <c r="A34" s="314"/>
      <c r="B34" s="328" t="s">
        <v>1085</v>
      </c>
      <c r="C34" s="328"/>
      <c r="D34" s="328"/>
      <c r="E34" s="329" t="n">
        <f aca="false">SUM(E24:E33)</f>
        <v>4860000</v>
      </c>
      <c r="F34" s="330" t="n">
        <v>0.175869120654397</v>
      </c>
      <c r="G34" s="331"/>
      <c r="H34" s="331"/>
      <c r="I34" s="331"/>
      <c r="J34" s="331"/>
      <c r="K34" s="331"/>
    </row>
    <row r="35" customFormat="false" ht="21.75" hidden="false" customHeight="true" outlineLevel="0" collapsed="false">
      <c r="A35" s="314"/>
      <c r="B35" s="332" t="s">
        <v>1086</v>
      </c>
      <c r="C35" s="332"/>
      <c r="D35" s="322"/>
      <c r="E35" s="322"/>
      <c r="F35" s="322"/>
      <c r="G35" s="323" t="s">
        <v>1087</v>
      </c>
      <c r="H35" s="323"/>
      <c r="I35" s="323"/>
      <c r="J35" s="323"/>
      <c r="K35" s="323"/>
    </row>
    <row r="36" customFormat="false" ht="15" hidden="false" customHeight="true" outlineLevel="0" collapsed="false">
      <c r="A36" s="314"/>
      <c r="B36" s="324"/>
      <c r="C36" s="324"/>
      <c r="D36" s="325" t="s">
        <v>1088</v>
      </c>
      <c r="E36" s="326" t="n">
        <v>600000</v>
      </c>
      <c r="F36" s="327" t="n">
        <v>0.0245398773006135</v>
      </c>
      <c r="G36" s="317"/>
      <c r="H36" s="314"/>
      <c r="I36" s="314"/>
      <c r="J36" s="317"/>
      <c r="K36" s="314"/>
    </row>
    <row r="37" customFormat="false" ht="15" hidden="false" customHeight="true" outlineLevel="0" collapsed="false">
      <c r="A37" s="314"/>
      <c r="B37" s="324"/>
      <c r="C37" s="324"/>
      <c r="D37" s="325" t="s">
        <v>1089</v>
      </c>
      <c r="E37" s="326" t="n">
        <v>400000</v>
      </c>
      <c r="F37" s="327" t="n">
        <v>0.016359918200409</v>
      </c>
      <c r="G37" s="317"/>
      <c r="H37" s="314"/>
      <c r="I37" s="314"/>
      <c r="J37" s="317"/>
      <c r="K37" s="314"/>
    </row>
    <row r="38" customFormat="false" ht="15" hidden="false" customHeight="true" outlineLevel="0" collapsed="false">
      <c r="A38" s="314"/>
      <c r="B38" s="324"/>
      <c r="C38" s="324"/>
      <c r="D38" s="325" t="s">
        <v>1090</v>
      </c>
      <c r="E38" s="326" t="n">
        <v>50000</v>
      </c>
      <c r="F38" s="327" t="n">
        <v>0.00204498977505113</v>
      </c>
      <c r="G38" s="317"/>
      <c r="H38" s="314"/>
      <c r="I38" s="314"/>
      <c r="J38" s="317"/>
      <c r="K38" s="314"/>
    </row>
    <row r="39" customFormat="false" ht="15" hidden="false" customHeight="true" outlineLevel="0" collapsed="false">
      <c r="A39" s="314"/>
      <c r="B39" s="324"/>
      <c r="C39" s="324"/>
      <c r="D39" s="325" t="s">
        <v>1091</v>
      </c>
      <c r="E39" s="326" t="n">
        <v>50000</v>
      </c>
      <c r="F39" s="327" t="n">
        <v>0.00204498977505113</v>
      </c>
      <c r="G39" s="317"/>
      <c r="H39" s="314"/>
      <c r="I39" s="314"/>
      <c r="J39" s="317"/>
      <c r="K39" s="314"/>
    </row>
    <row r="40" customFormat="false" ht="15" hidden="false" customHeight="true" outlineLevel="0" collapsed="false">
      <c r="A40" s="314"/>
      <c r="B40" s="324"/>
      <c r="C40" s="324"/>
      <c r="D40" s="325" t="s">
        <v>1092</v>
      </c>
      <c r="E40" s="326" t="n">
        <v>50000</v>
      </c>
      <c r="F40" s="327" t="n">
        <v>0.00204498977505113</v>
      </c>
      <c r="G40" s="317"/>
      <c r="H40" s="314"/>
      <c r="I40" s="314"/>
      <c r="J40" s="317"/>
      <c r="K40" s="314"/>
    </row>
    <row r="41" customFormat="false" ht="15" hidden="false" customHeight="true" outlineLevel="0" collapsed="false">
      <c r="A41" s="314"/>
      <c r="B41" s="324"/>
      <c r="C41" s="324"/>
      <c r="D41" s="325" t="s">
        <v>1093</v>
      </c>
      <c r="E41" s="326" t="n">
        <v>50000</v>
      </c>
      <c r="F41" s="327" t="n">
        <v>0.00204498977505113</v>
      </c>
      <c r="G41" s="317"/>
      <c r="H41" s="314"/>
      <c r="I41" s="314"/>
      <c r="J41" s="317"/>
      <c r="K41" s="314"/>
    </row>
    <row r="42" customFormat="false" ht="15" hidden="false" customHeight="true" outlineLevel="0" collapsed="false">
      <c r="A42" s="314"/>
      <c r="B42" s="324"/>
      <c r="C42" s="324"/>
      <c r="D42" s="325" t="s">
        <v>1094</v>
      </c>
      <c r="E42" s="326" t="n">
        <v>50000</v>
      </c>
      <c r="F42" s="327" t="n">
        <v>0.00204498977505113</v>
      </c>
      <c r="G42" s="317"/>
      <c r="H42" s="314"/>
      <c r="I42" s="314"/>
      <c r="J42" s="317"/>
      <c r="K42" s="314"/>
    </row>
    <row r="43" customFormat="false" ht="21.75" hidden="false" customHeight="true" outlineLevel="0" collapsed="false">
      <c r="A43" s="314"/>
      <c r="B43" s="328" t="s">
        <v>1095</v>
      </c>
      <c r="C43" s="328"/>
      <c r="D43" s="328"/>
      <c r="E43" s="329" t="n">
        <f aca="false">SUM(E36:E42)</f>
        <v>1250000</v>
      </c>
      <c r="F43" s="330" t="n">
        <v>0.0511247443762781</v>
      </c>
      <c r="G43" s="331"/>
      <c r="H43" s="331"/>
      <c r="I43" s="331"/>
      <c r="J43" s="331"/>
      <c r="K43" s="331"/>
    </row>
    <row r="44" customFormat="false" ht="21.75" hidden="false" customHeight="true" outlineLevel="0" collapsed="false">
      <c r="A44" s="314"/>
      <c r="B44" s="332" t="s">
        <v>1096</v>
      </c>
      <c r="C44" s="332"/>
      <c r="D44" s="322"/>
      <c r="E44" s="322"/>
      <c r="F44" s="322"/>
      <c r="G44" s="323" t="s">
        <v>1097</v>
      </c>
      <c r="H44" s="323"/>
      <c r="I44" s="323"/>
      <c r="J44" s="323"/>
      <c r="K44" s="323"/>
    </row>
    <row r="45" customFormat="false" ht="15" hidden="false" customHeight="true" outlineLevel="0" collapsed="false">
      <c r="A45" s="314"/>
      <c r="B45" s="324"/>
      <c r="C45" s="324"/>
      <c r="D45" s="325" t="s">
        <v>1098</v>
      </c>
      <c r="E45" s="326" t="n">
        <v>1200000</v>
      </c>
      <c r="F45" s="327" t="n">
        <v>0.0531697341513292</v>
      </c>
      <c r="G45" s="317"/>
      <c r="H45" s="314"/>
      <c r="I45" s="314"/>
      <c r="J45" s="317"/>
      <c r="K45" s="314"/>
    </row>
    <row r="46" customFormat="false" ht="15" hidden="false" customHeight="true" outlineLevel="0" collapsed="false">
      <c r="A46" s="314"/>
      <c r="B46" s="324"/>
      <c r="C46" s="324"/>
      <c r="D46" s="325" t="s">
        <v>1099</v>
      </c>
      <c r="E46" s="326" t="n">
        <v>400000</v>
      </c>
      <c r="F46" s="327" t="n">
        <v>0.016359918200409</v>
      </c>
      <c r="G46" s="317"/>
      <c r="H46" s="314"/>
      <c r="I46" s="314"/>
      <c r="J46" s="317"/>
      <c r="K46" s="314"/>
    </row>
    <row r="47" customFormat="false" ht="15" hidden="false" customHeight="true" outlineLevel="0" collapsed="false">
      <c r="B47" s="333"/>
      <c r="C47" s="333"/>
      <c r="D47" s="325" t="s">
        <v>1100</v>
      </c>
      <c r="E47" s="326" t="n">
        <v>200000</v>
      </c>
      <c r="F47" s="327" t="n">
        <v>0.0081799591002045</v>
      </c>
      <c r="G47" s="6"/>
      <c r="J47" s="6"/>
    </row>
    <row r="48" customFormat="false" ht="15" hidden="false" customHeight="true" outlineLevel="0" collapsed="false">
      <c r="B48" s="333"/>
      <c r="C48" s="333"/>
      <c r="D48" s="325" t="s">
        <v>1101</v>
      </c>
      <c r="E48" s="326" t="n">
        <v>700000</v>
      </c>
      <c r="F48" s="327" t="n">
        <v>0.0286298568507158</v>
      </c>
      <c r="G48" s="6"/>
      <c r="J48" s="6"/>
    </row>
    <row r="49" customFormat="false" ht="15" hidden="false" customHeight="true" outlineLevel="0" collapsed="false">
      <c r="B49" s="333"/>
      <c r="C49" s="333"/>
      <c r="D49" s="325" t="s">
        <v>1102</v>
      </c>
      <c r="E49" s="326" t="n">
        <v>200000</v>
      </c>
      <c r="F49" s="327" t="n">
        <v>0.0081799591002045</v>
      </c>
      <c r="G49" s="6"/>
      <c r="J49" s="6"/>
    </row>
    <row r="50" customFormat="false" ht="15" hidden="false" customHeight="true" outlineLevel="0" collapsed="false">
      <c r="B50" s="333"/>
      <c r="C50" s="333"/>
      <c r="D50" s="325" t="s">
        <v>1103</v>
      </c>
      <c r="E50" s="326" t="n">
        <v>200000</v>
      </c>
      <c r="F50" s="327" t="n">
        <v>0.0081799591002045</v>
      </c>
      <c r="G50" s="6"/>
      <c r="J50" s="6"/>
    </row>
    <row r="51" customFormat="false" ht="15" hidden="false" customHeight="true" outlineLevel="0" collapsed="false">
      <c r="B51" s="333"/>
      <c r="C51" s="333"/>
      <c r="D51" s="325" t="s">
        <v>1104</v>
      </c>
      <c r="E51" s="326" t="n">
        <v>200000</v>
      </c>
      <c r="F51" s="327" t="n">
        <v>0.0122699386503068</v>
      </c>
      <c r="G51" s="6"/>
      <c r="J51" s="6"/>
    </row>
    <row r="52" customFormat="false" ht="15" hidden="false" customHeight="true" outlineLevel="0" collapsed="false">
      <c r="B52" s="333"/>
      <c r="C52" s="333"/>
      <c r="D52" s="325" t="s">
        <v>1105</v>
      </c>
      <c r="E52" s="326" t="n">
        <v>50000</v>
      </c>
      <c r="F52" s="327" t="n">
        <v>0.00204498977505113</v>
      </c>
      <c r="G52" s="6"/>
      <c r="J52" s="6"/>
    </row>
    <row r="53" customFormat="false" ht="21.75" hidden="false" customHeight="true" outlineLevel="0" collapsed="false">
      <c r="B53" s="328" t="s">
        <v>1106</v>
      </c>
      <c r="C53" s="328"/>
      <c r="D53" s="328"/>
      <c r="E53" s="329" t="n">
        <f aca="false">SUM(E45:E52)</f>
        <v>3150000</v>
      </c>
      <c r="F53" s="330" t="n">
        <v>0.137014314928425</v>
      </c>
      <c r="G53" s="334"/>
      <c r="H53" s="334"/>
      <c r="I53" s="334"/>
      <c r="J53" s="334"/>
      <c r="K53" s="334"/>
    </row>
    <row r="54" customFormat="false" ht="27.75" hidden="false" customHeight="true" outlineLevel="0" collapsed="false">
      <c r="B54" s="335" t="s">
        <v>1107</v>
      </c>
      <c r="E54" s="336" t="n">
        <f aca="false">E53+E43+E34+E22+E17+E11</f>
        <v>28280000</v>
      </c>
      <c r="F54" s="337" t="n">
        <v>1</v>
      </c>
      <c r="G54" s="338" t="s">
        <v>1108</v>
      </c>
      <c r="H54" s="338"/>
      <c r="I54" s="338"/>
      <c r="J54" s="338"/>
      <c r="K54" s="338"/>
    </row>
    <row r="55" customFormat="false" ht="36" hidden="false" customHeight="true" outlineLevel="0" collapsed="false">
      <c r="B55" s="6" t="s">
        <v>1109</v>
      </c>
      <c r="E55" s="236" t="n">
        <f aca="false">E54-E11</f>
        <v>19090000</v>
      </c>
      <c r="G55" s="6"/>
      <c r="J55" s="6"/>
    </row>
    <row r="56" customFormat="false" ht="36" hidden="false" customHeight="true" outlineLevel="0" collapsed="false">
      <c r="B56" s="6" t="s">
        <v>1110</v>
      </c>
      <c r="E56" s="195" t="n">
        <f aca="false">E11</f>
        <v>9190000</v>
      </c>
      <c r="G56" s="6"/>
      <c r="J56" s="6"/>
    </row>
    <row r="57" customFormat="false" ht="36" hidden="false" customHeight="true" outlineLevel="0" collapsed="false">
      <c r="B57" s="96" t="s">
        <v>1111</v>
      </c>
      <c r="C57" s="96"/>
      <c r="D57" s="96"/>
      <c r="E57" s="96"/>
      <c r="F57" s="96"/>
      <c r="G57" s="96"/>
      <c r="H57" s="96"/>
      <c r="I57" s="96"/>
      <c r="J57" s="96"/>
      <c r="K57" s="96"/>
    </row>
    <row r="58" customFormat="false" ht="21.75" hidden="false" customHeight="true" outlineLevel="0" collapsed="false">
      <c r="B58" s="319" t="s">
        <v>1112</v>
      </c>
      <c r="C58" s="319"/>
      <c r="D58" s="98" t="s">
        <v>224</v>
      </c>
      <c r="E58" s="98" t="s">
        <v>1113</v>
      </c>
      <c r="F58" s="98" t="s">
        <v>669</v>
      </c>
      <c r="G58" s="320" t="s">
        <v>1114</v>
      </c>
      <c r="H58" s="320"/>
      <c r="I58" s="320"/>
      <c r="J58" s="320"/>
      <c r="K58" s="320"/>
    </row>
    <row r="59" customFormat="false" ht="36" hidden="false" customHeight="true" outlineLevel="0" collapsed="false">
      <c r="B59" s="335" t="s">
        <v>1115</v>
      </c>
      <c r="D59" s="336" t="n">
        <f aca="false">E54</f>
        <v>28280000</v>
      </c>
      <c r="E59" s="337" t="n">
        <v>1</v>
      </c>
      <c r="F59" s="339"/>
      <c r="G59" s="338" t="s">
        <v>1116</v>
      </c>
      <c r="H59" s="338"/>
      <c r="I59" s="338"/>
      <c r="J59" s="338"/>
      <c r="K59" s="338"/>
    </row>
    <row r="60" customFormat="false" ht="36" hidden="false" customHeight="true" outlineLevel="0" collapsed="false">
      <c r="B60" s="340" t="s">
        <v>1117</v>
      </c>
      <c r="D60" s="341" t="n">
        <f aca="false">-E11</f>
        <v>-9190000</v>
      </c>
      <c r="E60" s="342" t="n">
        <v>-0.253169734151329</v>
      </c>
      <c r="F60" s="343" t="s">
        <v>1118</v>
      </c>
      <c r="G60" s="344" t="str">
        <f aca="false">"CONTRIBUTED (not cash CapEx): Idriss · Land + initial construction at sister site $"&amp;TEXT(CapEx!E56/1000000,"0.00")&amp;"M"</f>
        <v>CONTRIBUTED (not cash CapEx): Idriss · Land + initial construction at sister site $9.19M</v>
      </c>
      <c r="J60" s="6"/>
    </row>
    <row r="61" customFormat="false" ht="18" hidden="false" customHeight="true" outlineLevel="0" collapsed="false">
      <c r="B61" s="345" t="s">
        <v>1119</v>
      </c>
      <c r="C61" s="345"/>
      <c r="D61" s="341" t="n">
        <f aca="false">-(E17+E22+E34+E43+E53)*12%</f>
        <v>-2290800</v>
      </c>
      <c r="E61" s="342" t="n">
        <v>-0.081799591002045</v>
      </c>
      <c r="F61" s="343" t="s">
        <v>1120</v>
      </c>
      <c r="G61" s="346" t="s">
        <v>1121</v>
      </c>
      <c r="H61" s="346"/>
      <c r="I61" s="346"/>
      <c r="J61" s="346"/>
      <c r="K61" s="346"/>
    </row>
    <row r="62" customFormat="false" ht="18" hidden="false" customHeight="true" outlineLevel="0" collapsed="false">
      <c r="B62" s="345" t="s">
        <v>1122</v>
      </c>
      <c r="C62" s="345"/>
      <c r="D62" s="341" t="n">
        <f aca="false">-E33-E21</f>
        <v>-1790000</v>
      </c>
      <c r="E62" s="342" t="n">
        <v>-0.065439672801636</v>
      </c>
      <c r="F62" s="343" t="s">
        <v>1120</v>
      </c>
      <c r="G62" s="346" t="s">
        <v>1123</v>
      </c>
      <c r="H62" s="346"/>
      <c r="I62" s="346"/>
      <c r="J62" s="346"/>
      <c r="K62" s="346"/>
    </row>
    <row r="63" customFormat="false" ht="18" hidden="false" customHeight="true" outlineLevel="0" collapsed="false">
      <c r="B63" s="345" t="s">
        <v>1124</v>
      </c>
      <c r="C63" s="345"/>
      <c r="D63" s="341" t="n">
        <v>-1000000</v>
      </c>
      <c r="E63" s="342" t="n">
        <v>-0.0408997955010225</v>
      </c>
      <c r="F63" s="343" t="s">
        <v>1125</v>
      </c>
      <c r="G63" s="346" t="s">
        <v>1126</v>
      </c>
      <c r="H63" s="346"/>
      <c r="I63" s="346"/>
      <c r="J63" s="346"/>
      <c r="K63" s="346"/>
    </row>
    <row r="64" customFormat="false" ht="33.75" hidden="false" customHeight="true" outlineLevel="0" collapsed="false">
      <c r="B64" s="345" t="s">
        <v>1127</v>
      </c>
      <c r="C64" s="345"/>
      <c r="D64" s="341" t="n">
        <f aca="false">-E34*MASTER_ASSUMPTIONS!$C$46</f>
        <v>-3402000</v>
      </c>
      <c r="E64" s="342" t="n">
        <v>-0.100204498977505</v>
      </c>
      <c r="F64" s="343" t="s">
        <v>1128</v>
      </c>
      <c r="G64" s="346" t="s">
        <v>1129</v>
      </c>
      <c r="H64" s="346"/>
      <c r="I64" s="346"/>
      <c r="J64" s="346"/>
      <c r="K64" s="346"/>
    </row>
    <row r="65" customFormat="false" ht="25.5" hidden="false" customHeight="true" outlineLevel="0" collapsed="false">
      <c r="B65" s="345" t="s">
        <v>1130</v>
      </c>
      <c r="C65" s="345"/>
      <c r="D65" s="341" t="n">
        <v>-1500000</v>
      </c>
      <c r="E65" s="342" t="n">
        <v>-0.0613496932515337</v>
      </c>
      <c r="F65" s="343" t="s">
        <v>693</v>
      </c>
      <c r="G65" s="346" t="s">
        <v>1131</v>
      </c>
      <c r="H65" s="346"/>
      <c r="I65" s="346"/>
      <c r="J65" s="346"/>
      <c r="K65" s="346"/>
    </row>
    <row r="66" customFormat="false" ht="25.5" hidden="false" customHeight="true" outlineLevel="0" collapsed="false">
      <c r="B66" s="340" t="s">
        <v>1132</v>
      </c>
      <c r="D66" s="341" t="n">
        <v>-400000</v>
      </c>
      <c r="E66" s="342" t="n">
        <v>-0.0081799591002045</v>
      </c>
      <c r="F66" s="343" t="s">
        <v>696</v>
      </c>
      <c r="G66" s="344" t="s">
        <v>1133</v>
      </c>
      <c r="J66" s="6"/>
    </row>
    <row r="67" customFormat="false" ht="25.5" hidden="false" customHeight="true" outlineLevel="0" collapsed="false">
      <c r="B67" s="345" t="s">
        <v>1134</v>
      </c>
      <c r="C67" s="345"/>
      <c r="D67" s="341" t="n">
        <v>-300000</v>
      </c>
      <c r="E67" s="342" t="n">
        <v>-0.0122699386503068</v>
      </c>
      <c r="F67" s="343" t="s">
        <v>699</v>
      </c>
      <c r="G67" s="346" t="s">
        <v>1135</v>
      </c>
      <c r="H67" s="346"/>
      <c r="I67" s="346"/>
      <c r="J67" s="346"/>
      <c r="K67" s="346"/>
    </row>
    <row r="68" customFormat="false" ht="25.5" hidden="false" customHeight="true" outlineLevel="0" collapsed="false">
      <c r="B68" s="340" t="s">
        <v>1136</v>
      </c>
      <c r="D68" s="341" t="n">
        <v>-587200</v>
      </c>
      <c r="E68" s="342" t="n">
        <v>-0.0081799591002045</v>
      </c>
      <c r="F68" s="343" t="s">
        <v>696</v>
      </c>
      <c r="G68" s="344" t="s">
        <v>1137</v>
      </c>
      <c r="J68" s="6"/>
    </row>
    <row r="69" customFormat="false" ht="51" hidden="false" customHeight="true" outlineLevel="0" collapsed="false">
      <c r="B69" s="347" t="s">
        <v>1138</v>
      </c>
      <c r="C69" s="347"/>
      <c r="D69" s="348" t="n">
        <f aca="false">SUM(D60:D68)</f>
        <v>-20460000</v>
      </c>
      <c r="E69" s="349" t="n">
        <f aca="false">D69/(E$54-E$11)</f>
        <v>-1.0717653221582</v>
      </c>
      <c r="F69" s="350"/>
      <c r="G69" s="351" t="str">
        <f aca="false">"9 sources · all secured/committed · non-dilutive · % shown above is of Cash CapEx ($"&amp;TEXT(CapEx!E55/1000000,"0.00")&amp;"M, excl. $"&amp;TEXT(CapEx!E56/1000000,"0.00")&amp;"M contributed Lessor)"</f>
        <v>9 sources · all secured/committed · non-dilutive · % shown above is of Cash CapEx ($19.09M, excl. $9.19M contributed Lessor)</v>
      </c>
      <c r="J69" s="6"/>
    </row>
    <row r="70" customFormat="false" ht="81" hidden="false" customHeight="true" outlineLevel="0" collapsed="false">
      <c r="B70" s="352" t="s">
        <v>1139</v>
      </c>
      <c r="C70" s="352"/>
      <c r="D70" s="353" t="n">
        <f aca="false">E54+D69</f>
        <v>7820000</v>
      </c>
      <c r="E70" s="354" t="n">
        <f aca="false">D70/(E$54-E$11)</f>
        <v>0.409638554216867</v>
      </c>
      <c r="F70" s="355" t="s">
        <v>1140</v>
      </c>
      <c r="G70" s="356" t="str">
        <f aca="false">"LP "&amp;TEXT(MASTER_ASSUMPTIONS!C15,"0.0%")&amp;" equity · pre-money $"&amp;TEXT((MASTER_ASSUMPTIONS!C14-MASTER_ASSUMPTIONS!C13)/1000000,"0.00")&amp;"M · post-money $"&amp;TEXT(MASTER_ASSUMPTIONS!C14/1000000,"0.00")&amp;"M · % shown above is of Cash CapEx ($"&amp;TEXT(CapEx!E55/1000000,"0.00")&amp;"M, excl. $"&amp;TEXT(CapEx!E56/1000000,"0.00")&amp;"M contributed Lessor)"</f>
        <v>LP 45.0% equity · pre-money $9.56M · post-money $17.38M · % shown above is of Cash CapEx ($19.09M, excl. $9.19M contributed Lessor)</v>
      </c>
      <c r="J70" s="6"/>
    </row>
    <row r="71" customFormat="false" ht="21.75" hidden="false" customHeight="true" outlineLevel="0" collapsed="false">
      <c r="B71" s="319" t="s">
        <v>1141</v>
      </c>
      <c r="C71" s="319"/>
      <c r="D71" s="98" t="s">
        <v>756</v>
      </c>
      <c r="E71" s="98" t="s">
        <v>760</v>
      </c>
      <c r="F71" s="98" t="s">
        <v>908</v>
      </c>
      <c r="G71" s="99" t="s">
        <v>765</v>
      </c>
      <c r="H71" s="98" t="s">
        <v>770</v>
      </c>
      <c r="I71" s="98" t="s">
        <v>909</v>
      </c>
      <c r="J71" s="6"/>
    </row>
    <row r="72" customFormat="false" ht="24" hidden="false" customHeight="true" outlineLevel="0" collapsed="false">
      <c r="B72" s="126" t="s">
        <v>1142</v>
      </c>
      <c r="D72" s="357" t="n">
        <v>0</v>
      </c>
      <c r="E72" s="358" t="n">
        <f aca="false">'Exit &amp; Returns'!C13</f>
        <v>1508583.94025325</v>
      </c>
      <c r="F72" s="358" t="n">
        <f aca="false">'Exit &amp; Returns'!D13</f>
        <v>1836247.0817155</v>
      </c>
      <c r="G72" s="359" t="n">
        <f aca="false">'Exit &amp; Returns'!E13</f>
        <v>2159351.87463882</v>
      </c>
      <c r="H72" s="358" t="n">
        <f aca="false">'Exit &amp; Returns'!F13</f>
        <v>2106139.43959299</v>
      </c>
      <c r="I72" s="358" t="n">
        <f aca="false">'Exit &amp; Returns'!G13</f>
        <v>2342928.92912408</v>
      </c>
      <c r="J72" s="6"/>
    </row>
    <row r="73" customFormat="false" ht="33.75" hidden="false" customHeight="true" outlineLevel="0" collapsed="false">
      <c r="B73" s="126" t="s">
        <v>1143</v>
      </c>
      <c r="D73" s="360" t="n">
        <f aca="false">-E$55</f>
        <v>-19090000</v>
      </c>
      <c r="E73" s="361" t="n">
        <v>-200000</v>
      </c>
      <c r="F73" s="361" t="n">
        <v>-200000</v>
      </c>
      <c r="G73" s="362" t="n">
        <v>-200000</v>
      </c>
      <c r="H73" s="361" t="n">
        <v>-200000</v>
      </c>
      <c r="I73" s="361" t="n">
        <v>-200000</v>
      </c>
      <c r="J73" s="6"/>
    </row>
    <row r="74" customFormat="false" ht="18" hidden="false" customHeight="true" outlineLevel="0" collapsed="false">
      <c r="B74" s="50" t="s">
        <v>1144</v>
      </c>
      <c r="C74" s="50"/>
      <c r="D74" s="357" t="n">
        <v>0</v>
      </c>
      <c r="E74" s="361" t="n">
        <v>-256200</v>
      </c>
      <c r="F74" s="361" t="n">
        <v>-256200</v>
      </c>
      <c r="G74" s="362" t="n">
        <v>-256200</v>
      </c>
      <c r="H74" s="361" t="n">
        <v>-256200</v>
      </c>
      <c r="I74" s="361" t="n">
        <v>-256200</v>
      </c>
      <c r="J74" s="6"/>
    </row>
    <row r="75" customFormat="false" ht="15" hidden="false" customHeight="true" outlineLevel="0" collapsed="false">
      <c r="B75" s="332" t="s">
        <v>1145</v>
      </c>
      <c r="C75" s="332"/>
      <c r="D75" s="363" t="n">
        <f aca="false">D72+D73+D74</f>
        <v>-19090000</v>
      </c>
      <c r="E75" s="363" t="n">
        <f aca="false">E72+E73+E74</f>
        <v>1052383.94025325</v>
      </c>
      <c r="F75" s="363" t="n">
        <f aca="false">F72+F73+F74</f>
        <v>1380047.0817155</v>
      </c>
      <c r="G75" s="364" t="n">
        <f aca="false">G72+G73+G74</f>
        <v>1703151.87463882</v>
      </c>
      <c r="H75" s="363" t="n">
        <f aca="false">H72+H73+H74</f>
        <v>1649939.43959299</v>
      </c>
      <c r="I75" s="363" t="n">
        <f aca="false">I72+I73+I74</f>
        <v>1886728.92912408</v>
      </c>
      <c r="J75" s="6"/>
    </row>
    <row r="76" customFormat="false" ht="15" hidden="false" customHeight="true" outlineLevel="0" collapsed="false">
      <c r="B76" s="43" t="s">
        <v>1146</v>
      </c>
      <c r="C76" s="43"/>
      <c r="D76" s="365" t="n">
        <f aca="false">D75</f>
        <v>-19090000</v>
      </c>
      <c r="E76" s="365" t="n">
        <f aca="false">D76+E75</f>
        <v>-18037616.0597468</v>
      </c>
      <c r="F76" s="365" t="n">
        <f aca="false">E76+F75</f>
        <v>-16657568.9780313</v>
      </c>
      <c r="G76" s="366" t="n">
        <f aca="false">F76+G75</f>
        <v>-14954417.1033924</v>
      </c>
      <c r="H76" s="365" t="n">
        <f aca="false">G76+H75</f>
        <v>-13304477.6637994</v>
      </c>
      <c r="I76" s="365" t="n">
        <f aca="false">H76+I75</f>
        <v>-11417748.7346754</v>
      </c>
      <c r="J76" s="6"/>
    </row>
    <row r="77" customFormat="false" ht="15" hidden="false" customHeight="true" outlineLevel="0" collapsed="false">
      <c r="B77" s="6"/>
      <c r="G77" s="6"/>
      <c r="J77" s="6"/>
    </row>
    <row r="78" customFormat="false" ht="66" hidden="false" customHeight="true" outlineLevel="0" collapsed="false">
      <c r="B78" s="6" t="str">
        <f aca="false">"⊙ NOTE: Y0 reflects Cash CapEx ($"&amp;TEXT(CapEx!E55/1000000,"0.00")&amp;"M, excludes contributed land $"&amp;TEXT(CapEx!E56/1000000,"0.00")&amp;"M which doesn't hit cash flow). Y1+ = annual $200K maintenance reserve."</f>
        <v>⊙ NOTE: Y0 reflects Cash CapEx ($19.09M, excludes contributed land $9.19M which doesn't hit cash flow). Y1+ = annual $200K maintenance reserve.</v>
      </c>
      <c r="G78" s="6"/>
      <c r="J78" s="6"/>
    </row>
    <row r="79" customFormat="false" ht="36" hidden="false" customHeight="true" outlineLevel="0" collapsed="false">
      <c r="B79" s="96" t="s">
        <v>1147</v>
      </c>
      <c r="C79" s="96"/>
      <c r="D79" s="96"/>
      <c r="E79" s="96"/>
      <c r="F79" s="96"/>
      <c r="G79" s="96"/>
      <c r="H79" s="96"/>
      <c r="I79" s="96"/>
      <c r="J79" s="96"/>
      <c r="K79" s="96"/>
    </row>
    <row r="80" customFormat="false" ht="111" hidden="false" customHeight="true" outlineLevel="0" collapsed="false">
      <c r="B80" s="108" t="str">
        <f aca="false">"Two views: PROJECT (vs total CapEx in E54: $"&amp;TEXT(CapEx!E54/1000000,"0.00")&amp;"M) and EQUITY (vs $"&amp;TEXT(MASTER_ASSUMPTIONS!C13/1000000,"0.00")&amp;"M Round 1 raise at $"&amp;TEXT(MASTER_ASSUMPTIONS!C14/1000000,"0.00")&amp;"M post-money — investor-relevant because the rest is non-equity-dilutive funding: lessor land, government subsidies, equipment loan, supplier credit)."</f>
        <v>Two views: PROJECT (vs total CapEx in E54: $28.28M) and EQUITY (vs $7.82M Round 1 raise at $17.38M post-money — investor-relevant because the rest is non-equity-dilutive funding: lessor land, government subsidies, equipment loan, supplier credit).</v>
      </c>
      <c r="G80" s="6"/>
      <c r="J80" s="6"/>
    </row>
    <row r="81" customFormat="false" ht="21.75" hidden="false" customHeight="true" outlineLevel="0" collapsed="false">
      <c r="B81" s="319" t="s">
        <v>206</v>
      </c>
      <c r="C81" s="319"/>
      <c r="D81" s="367" t="s">
        <v>1148</v>
      </c>
      <c r="E81" s="367"/>
      <c r="F81" s="367"/>
      <c r="G81" s="368" t="s">
        <v>1149</v>
      </c>
      <c r="H81" s="368"/>
      <c r="I81" s="368"/>
      <c r="J81" s="320" t="s">
        <v>778</v>
      </c>
      <c r="K81" s="320"/>
    </row>
    <row r="82" customFormat="false" ht="36" hidden="false" customHeight="true" outlineLevel="0" collapsed="false">
      <c r="B82" s="369" t="s">
        <v>1150</v>
      </c>
      <c r="C82" s="369"/>
      <c r="D82" s="370" t="n">
        <f aca="false">E54</f>
        <v>28280000</v>
      </c>
      <c r="E82" s="370"/>
      <c r="F82" s="370"/>
      <c r="G82" s="371" t="n">
        <f aca="false">D70</f>
        <v>7820000</v>
      </c>
      <c r="H82" s="371"/>
      <c r="I82" s="371"/>
      <c r="J82" s="372" t="s">
        <v>1151</v>
      </c>
      <c r="K82" s="372"/>
    </row>
    <row r="83" customFormat="false" ht="30" hidden="false" customHeight="true" outlineLevel="0" collapsed="false">
      <c r="B83" s="369" t="s">
        <v>1152</v>
      </c>
      <c r="C83" s="369"/>
      <c r="D83" s="370" t="n">
        <f aca="false">H75</f>
        <v>1649939.43959299</v>
      </c>
      <c r="E83" s="370"/>
      <c r="F83" s="370"/>
      <c r="G83" s="371" t="n">
        <f aca="false">H75</f>
        <v>1649939.43959299</v>
      </c>
      <c r="H83" s="371"/>
      <c r="I83" s="371"/>
      <c r="J83" s="372" t="s">
        <v>1153</v>
      </c>
      <c r="K83" s="372"/>
    </row>
    <row r="84" customFormat="false" ht="51" hidden="false" customHeight="true" outlineLevel="0" collapsed="false">
      <c r="B84" s="369" t="s">
        <v>1154</v>
      </c>
      <c r="C84" s="369"/>
      <c r="D84" s="373" t="n">
        <f aca="false">E54/H75</f>
        <v>17.1400230344068</v>
      </c>
      <c r="E84" s="373"/>
      <c r="F84" s="373"/>
      <c r="G84" s="374" t="n">
        <f aca="false">D70/H75</f>
        <v>4.73956789706722</v>
      </c>
      <c r="H84" s="374"/>
      <c r="I84" s="374"/>
      <c r="J84" s="375" t="str">
        <f aca="false">"Project payback long; Equity payback short (other $"&amp;TEXT((CapEx!E54-MASTER_ASSUMPTIONS!C13)/1000000,"0.00")&amp;"M is non-equity)"</f>
        <v>Project payback long; Equity payback short (other $20.46M is non-equity)</v>
      </c>
    </row>
    <row r="85" customFormat="false" ht="30" hidden="false" customHeight="true" outlineLevel="0" collapsed="false">
      <c r="B85" s="369" t="s">
        <v>1155</v>
      </c>
      <c r="C85" s="369"/>
      <c r="D85" s="370" t="n">
        <f aca="false">I76</f>
        <v>-11417748.7346754</v>
      </c>
      <c r="E85" s="370"/>
      <c r="F85" s="370"/>
      <c r="G85" s="371" t="n">
        <f aca="false">I76</f>
        <v>-11417748.7346754</v>
      </c>
      <c r="H85" s="371"/>
      <c r="I85" s="371"/>
      <c r="J85" s="372" t="s">
        <v>1156</v>
      </c>
      <c r="K85" s="372"/>
    </row>
    <row r="86" customFormat="false" ht="36" hidden="false" customHeight="true" outlineLevel="0" collapsed="false">
      <c r="B86" s="369" t="s">
        <v>1157</v>
      </c>
      <c r="C86" s="369"/>
      <c r="D86" s="376" t="n">
        <f aca="false">I76/E54</f>
        <v>-0.403739347053584</v>
      </c>
      <c r="E86" s="376"/>
      <c r="F86" s="376"/>
      <c r="G86" s="377" t="n">
        <f aca="false">I76/D70</f>
        <v>-1.4600701706746</v>
      </c>
      <c r="H86" s="377"/>
      <c r="I86" s="377"/>
      <c r="J86" s="372" t="s">
        <v>1158</v>
      </c>
      <c r="K86" s="372"/>
    </row>
    <row r="87" customFormat="false" ht="30" hidden="false" customHeight="true" outlineLevel="0" collapsed="false">
      <c r="B87" s="369" t="s">
        <v>1159</v>
      </c>
      <c r="C87" s="369"/>
      <c r="D87" s="378" t="n">
        <f aca="false">H75/E54</f>
        <v>0.0583429787692004</v>
      </c>
      <c r="E87" s="378"/>
      <c r="F87" s="378"/>
      <c r="G87" s="379" t="n">
        <f aca="false">H75/D70</f>
        <v>0.210989698157671</v>
      </c>
      <c r="H87" s="379"/>
      <c r="I87" s="379"/>
      <c r="J87" s="372" t="s">
        <v>1160</v>
      </c>
      <c r="K87" s="372"/>
    </row>
    <row r="88" customFormat="false" ht="15" hidden="false" customHeight="true" outlineLevel="0" collapsed="false">
      <c r="B88" s="6"/>
      <c r="G88" s="6"/>
      <c r="J88" s="6"/>
    </row>
    <row r="89" customFormat="false" ht="36" hidden="false" customHeight="true" outlineLevel="0" collapsed="false">
      <c r="B89" s="380" t="s">
        <v>1161</v>
      </c>
      <c r="G89" s="6"/>
      <c r="J89" s="6"/>
    </row>
  </sheetData>
  <mergeCells count="117">
    <mergeCell ref="B2:H2"/>
    <mergeCell ref="I2:K2"/>
    <mergeCell ref="B3:K3"/>
    <mergeCell ref="B6:C6"/>
    <mergeCell ref="G6:K6"/>
    <mergeCell ref="G7:K7"/>
    <mergeCell ref="B8:C8"/>
    <mergeCell ref="B9:C9"/>
    <mergeCell ref="B10:C10"/>
    <mergeCell ref="G10:K10"/>
    <mergeCell ref="B11:D11"/>
    <mergeCell ref="G11:K11"/>
    <mergeCell ref="B12:C12"/>
    <mergeCell ref="G12:K12"/>
    <mergeCell ref="B13:C13"/>
    <mergeCell ref="G13:K13"/>
    <mergeCell ref="B14:C14"/>
    <mergeCell ref="B15:C15"/>
    <mergeCell ref="B16:C16"/>
    <mergeCell ref="B17:D17"/>
    <mergeCell ref="G17:K17"/>
    <mergeCell ref="B18:C18"/>
    <mergeCell ref="G18:K18"/>
    <mergeCell ref="B19:C19"/>
    <mergeCell ref="B20:C20"/>
    <mergeCell ref="B21:C21"/>
    <mergeCell ref="B22:D22"/>
    <mergeCell ref="G22:K22"/>
    <mergeCell ref="B23:C23"/>
    <mergeCell ref="G23:K23"/>
    <mergeCell ref="B24:C24"/>
    <mergeCell ref="B25:C25"/>
    <mergeCell ref="B26:C26"/>
    <mergeCell ref="G26:K26"/>
    <mergeCell ref="B27:C27"/>
    <mergeCell ref="B28:C28"/>
    <mergeCell ref="B29:C29"/>
    <mergeCell ref="B30:C30"/>
    <mergeCell ref="B31:C31"/>
    <mergeCell ref="B32:C32"/>
    <mergeCell ref="B33:C33"/>
    <mergeCell ref="B34:D34"/>
    <mergeCell ref="G34:K34"/>
    <mergeCell ref="B35:C35"/>
    <mergeCell ref="G35:K35"/>
    <mergeCell ref="B36:C36"/>
    <mergeCell ref="B37:C37"/>
    <mergeCell ref="B38:C38"/>
    <mergeCell ref="B39:C39"/>
    <mergeCell ref="B40:C40"/>
    <mergeCell ref="B41:C41"/>
    <mergeCell ref="B42:C42"/>
    <mergeCell ref="B43:D43"/>
    <mergeCell ref="G43:K43"/>
    <mergeCell ref="B44:C44"/>
    <mergeCell ref="G44:K44"/>
    <mergeCell ref="B45:C45"/>
    <mergeCell ref="B46:C46"/>
    <mergeCell ref="B47:C47"/>
    <mergeCell ref="B48:C48"/>
    <mergeCell ref="B49:C49"/>
    <mergeCell ref="B50:C50"/>
    <mergeCell ref="B51:C51"/>
    <mergeCell ref="B52:C52"/>
    <mergeCell ref="B53:D53"/>
    <mergeCell ref="G53:K53"/>
    <mergeCell ref="G54:K54"/>
    <mergeCell ref="B57:K57"/>
    <mergeCell ref="B58:C58"/>
    <mergeCell ref="G58:K58"/>
    <mergeCell ref="G59:K59"/>
    <mergeCell ref="B61:C61"/>
    <mergeCell ref="G61:K61"/>
    <mergeCell ref="B62:C62"/>
    <mergeCell ref="G62:K62"/>
    <mergeCell ref="B63:C63"/>
    <mergeCell ref="G63:K63"/>
    <mergeCell ref="B64:C64"/>
    <mergeCell ref="G64:K64"/>
    <mergeCell ref="B65:C65"/>
    <mergeCell ref="G65:K65"/>
    <mergeCell ref="B67:C67"/>
    <mergeCell ref="G67:K67"/>
    <mergeCell ref="B69:C69"/>
    <mergeCell ref="B70:C70"/>
    <mergeCell ref="B71:C71"/>
    <mergeCell ref="B74:C74"/>
    <mergeCell ref="B75:C75"/>
    <mergeCell ref="B76:C76"/>
    <mergeCell ref="B79:K79"/>
    <mergeCell ref="B81:C81"/>
    <mergeCell ref="D81:F81"/>
    <mergeCell ref="G81:I81"/>
    <mergeCell ref="J81:K81"/>
    <mergeCell ref="B82:C82"/>
    <mergeCell ref="D82:F82"/>
    <mergeCell ref="G82:I82"/>
    <mergeCell ref="J82:K82"/>
    <mergeCell ref="B83:C83"/>
    <mergeCell ref="D83:F83"/>
    <mergeCell ref="G83:I83"/>
    <mergeCell ref="J83:K83"/>
    <mergeCell ref="B84:C84"/>
    <mergeCell ref="D84:F84"/>
    <mergeCell ref="G84:I84"/>
    <mergeCell ref="B85:C85"/>
    <mergeCell ref="D85:F85"/>
    <mergeCell ref="G85:I85"/>
    <mergeCell ref="J85:K85"/>
    <mergeCell ref="B86:C86"/>
    <mergeCell ref="D86:F86"/>
    <mergeCell ref="G86:I86"/>
    <mergeCell ref="J86:K86"/>
    <mergeCell ref="B87:C87"/>
    <mergeCell ref="D87:F87"/>
    <mergeCell ref="G87:I87"/>
    <mergeCell ref="J87:K87"/>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15" t="s">
        <v>6917</v>
      </c>
      <c r="C2" s="15"/>
      <c r="D2" s="15"/>
      <c r="E2" s="15"/>
      <c r="F2" s="15"/>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'Museum · Revenue'!E24</f>
        <v>488873.1</v>
      </c>
      <c r="D7" s="1155" t="n">
        <f aca="false">'Museum · Costs'!C24</f>
        <v>249036.2</v>
      </c>
      <c r="E7" s="577" t="n">
        <f aca="false">'Museum · Costs'!C37</f>
        <v>239836.9</v>
      </c>
      <c r="F7" s="1156" t="n">
        <f aca="false">'Museum · Costs'!C37/'Museum · Revenue'!E24</f>
        <v>0.49059132114244</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'Museum · Revenue'!E24*I9</f>
        <v>488873.1</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160" t="s">
        <v>6918</v>
      </c>
      <c r="C13" s="1161" t="n">
        <f aca="false">'Museum · Revenue'!E7</f>
        <v>130050</v>
      </c>
      <c r="D13" s="572" t="n">
        <f aca="false">C13/'Museum · Revenue'!E24</f>
        <v>0.266019954871724</v>
      </c>
      <c r="E13" s="314"/>
      <c r="F13" s="314"/>
      <c r="G13" s="314"/>
      <c r="H13" s="314"/>
      <c r="I13" s="314"/>
      <c r="J13" s="314"/>
    </row>
    <row r="14" customFormat="false" ht="15" hidden="false" customHeight="true" outlineLevel="0" collapsed="false">
      <c r="A14" s="314"/>
      <c r="B14" s="1160" t="s">
        <v>6919</v>
      </c>
      <c r="C14" s="1161" t="n">
        <f aca="false">'Museum · Revenue'!E8</f>
        <v>131962.5</v>
      </c>
      <c r="D14" s="572" t="n">
        <f aca="false">C14/'Museum · Revenue'!E24</f>
        <v>0.269932013031603</v>
      </c>
      <c r="E14" s="314"/>
      <c r="F14" s="314"/>
      <c r="G14" s="314"/>
      <c r="H14" s="314"/>
      <c r="I14" s="314"/>
      <c r="J14" s="314"/>
    </row>
    <row r="15" customFormat="false" ht="21.75" hidden="false" customHeight="true" outlineLevel="0" collapsed="false">
      <c r="A15" s="314"/>
      <c r="B15" s="1160" t="s">
        <v>6920</v>
      </c>
      <c r="C15" s="1161" t="n">
        <f aca="false">'Museum · Revenue'!E9</f>
        <v>44625</v>
      </c>
      <c r="D15" s="572" t="n">
        <f aca="false">C15/'Museum · Revenue'!E24</f>
        <v>0.091281357063827</v>
      </c>
      <c r="E15" s="314"/>
      <c r="F15" s="314"/>
      <c r="G15" s="314"/>
      <c r="H15" s="314"/>
      <c r="I15" s="314"/>
      <c r="J15" s="314"/>
    </row>
    <row r="16" customFormat="false" ht="18" hidden="false" customHeight="true" outlineLevel="0" collapsed="false">
      <c r="A16" s="314"/>
      <c r="B16" s="1160" t="s">
        <v>6921</v>
      </c>
      <c r="C16" s="1161" t="n">
        <f aca="false">'Museum · Revenue'!E10</f>
        <v>38563.2</v>
      </c>
      <c r="D16" s="572" t="n">
        <f aca="false">C16/'Museum · Revenue'!E24</f>
        <v>0.0788818202515131</v>
      </c>
      <c r="E16" s="314"/>
      <c r="F16" s="314"/>
      <c r="G16" s="314"/>
      <c r="H16" s="314"/>
      <c r="I16" s="314"/>
      <c r="J16" s="314"/>
    </row>
    <row r="17" customFormat="false" ht="18" hidden="false" customHeight="true" outlineLevel="0" collapsed="false">
      <c r="A17" s="314"/>
      <c r="B17" s="1160" t="s">
        <v>6922</v>
      </c>
      <c r="C17" s="1161" t="n">
        <f aca="false">'Museum · Revenue'!E15</f>
        <v>31927.2</v>
      </c>
      <c r="D17" s="572" t="n">
        <f aca="false">C17/'Museum · Revenue'!E24</f>
        <v>0.0653077455069629</v>
      </c>
      <c r="E17" s="314"/>
      <c r="F17" s="314"/>
      <c r="G17" s="314"/>
      <c r="H17" s="314"/>
      <c r="I17" s="314"/>
      <c r="J17" s="314"/>
    </row>
    <row r="18" customFormat="false" ht="18" hidden="false" customHeight="true" outlineLevel="0" collapsed="false">
      <c r="A18" s="314"/>
      <c r="B18" s="126" t="s">
        <v>6923</v>
      </c>
      <c r="C18" s="1161" t="n">
        <f aca="false">'Museum · Revenue'!E20</f>
        <v>111745.2</v>
      </c>
      <c r="D18" s="572" t="n">
        <f aca="false">C18/'Museum · Revenue'!E24</f>
        <v>0.22857710927437</v>
      </c>
      <c r="E18" s="314"/>
      <c r="F18" s="314"/>
      <c r="G18" s="314"/>
      <c r="H18" s="314"/>
      <c r="I18" s="314"/>
      <c r="J18" s="314"/>
    </row>
    <row r="19" customFormat="false" ht="24" hidden="false" customHeight="true" outlineLevel="0" collapsed="false">
      <c r="A19" s="314"/>
      <c r="B19" s="117" t="s">
        <v>3455</v>
      </c>
      <c r="C19" s="546" t="n">
        <f aca="false">'Museum · Revenue'!E24</f>
        <v>488873.1</v>
      </c>
      <c r="D19" s="1162" t="n">
        <v>1</v>
      </c>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8" hidden="false" customHeight="true" outlineLevel="0" collapsed="false">
      <c r="A21" s="314"/>
      <c r="B21" s="317"/>
      <c r="C21" s="317"/>
      <c r="D21" s="317"/>
      <c r="E21" s="314"/>
      <c r="F21" s="314"/>
      <c r="G21" s="314"/>
      <c r="H21" s="314"/>
      <c r="I21" s="314"/>
      <c r="J21" s="314"/>
    </row>
    <row r="22" customFormat="false" ht="18"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15" hidden="false" customHeight="true" outlineLevel="0" collapsed="false">
      <c r="A24" s="314"/>
      <c r="B24" s="113" t="s">
        <v>3457</v>
      </c>
      <c r="C24" s="1161" t="n">
        <f aca="false">'Museum · 8-Year'!C11</f>
        <v>391098.48</v>
      </c>
      <c r="D24" s="317"/>
      <c r="E24" s="314"/>
      <c r="F24" s="314"/>
      <c r="G24" s="314"/>
      <c r="H24" s="314"/>
      <c r="I24" s="314"/>
      <c r="J24" s="314"/>
    </row>
    <row r="25" customFormat="false" ht="15" hidden="false" customHeight="true" outlineLevel="0" collapsed="false">
      <c r="A25" s="314"/>
      <c r="B25" s="113" t="s">
        <v>3458</v>
      </c>
      <c r="C25" s="1161" t="n">
        <f aca="false">'Museum · 8-Year'!F11</f>
        <v>534204.8359437</v>
      </c>
      <c r="D25" s="317"/>
      <c r="E25" s="314"/>
      <c r="F25" s="314"/>
      <c r="G25" s="314"/>
      <c r="H25" s="314"/>
      <c r="I25" s="314"/>
      <c r="J25" s="314"/>
    </row>
    <row r="26" customFormat="false" ht="21.75" hidden="false" customHeight="true" outlineLevel="0" collapsed="false">
      <c r="A26" s="314"/>
      <c r="B26" s="113" t="s">
        <v>3459</v>
      </c>
      <c r="C26" s="1161" t="n">
        <f aca="false">'Museum · 8-Year'!J11</f>
        <v>631314.861659201</v>
      </c>
      <c r="D26" s="317"/>
      <c r="E26" s="314"/>
      <c r="F26" s="314"/>
      <c r="G26" s="314"/>
      <c r="H26" s="314"/>
      <c r="I26" s="314"/>
      <c r="J26" s="314"/>
    </row>
    <row r="27" customFormat="false" ht="15" hidden="false" customHeight="true" outlineLevel="0" collapsed="false">
      <c r="A27" s="314"/>
      <c r="B27" s="81" t="s">
        <v>3460</v>
      </c>
      <c r="C27" s="782" t="n">
        <f aca="false">'Museum · 8-Year'!K11</f>
        <v>4286681.85024478</v>
      </c>
      <c r="D27" s="317"/>
      <c r="E27" s="314"/>
      <c r="F27" s="314"/>
      <c r="G27" s="314"/>
      <c r="H27" s="314"/>
      <c r="I27" s="314"/>
      <c r="J27" s="314"/>
    </row>
    <row r="28" customFormat="false" ht="15" hidden="false" customHeight="true" outlineLevel="0" collapsed="false">
      <c r="A28" s="314"/>
      <c r="B28" s="81" t="s">
        <v>3461</v>
      </c>
      <c r="C28" s="1163" t="n">
        <f aca="false">'Museum · 8-Year'!K20</f>
        <v>2081064.46632211</v>
      </c>
      <c r="D28" s="317"/>
      <c r="E28" s="314"/>
      <c r="F28" s="314"/>
      <c r="G28" s="314"/>
      <c r="H28" s="314"/>
      <c r="I28" s="314"/>
      <c r="J28" s="314"/>
    </row>
    <row r="29" customFormat="false" ht="48.75" hidden="false" customHeight="true" outlineLevel="0" collapsed="false">
      <c r="A29" s="314"/>
      <c r="B29" s="1164" t="s">
        <v>3462</v>
      </c>
      <c r="C29" s="1165" t="n">
        <f aca="false">('Museum · 8-Year'!J11/'Museum · 8-Year'!C11)^(1/7)-1</f>
        <v>0.0708004745979443</v>
      </c>
      <c r="D29" s="317"/>
      <c r="E29" s="314"/>
      <c r="F29" s="314"/>
      <c r="G29" s="314"/>
      <c r="H29" s="314"/>
      <c r="I29" s="314"/>
      <c r="J29" s="314"/>
    </row>
    <row r="30" customFormat="false" ht="93.75" hidden="false" customHeight="true" outlineLevel="0" collapsed="false">
      <c r="A30" s="314"/>
      <c r="B30" s="907" t="s">
        <v>3463</v>
      </c>
      <c r="C30" s="317"/>
      <c r="D30" s="317"/>
      <c r="E30" s="314"/>
      <c r="F30" s="314"/>
      <c r="G30" s="314"/>
      <c r="H30" s="314"/>
      <c r="I30" s="314"/>
      <c r="J30" s="314"/>
    </row>
    <row r="31" customFormat="false" ht="21.75" hidden="false" customHeight="true" outlineLevel="0" collapsed="false">
      <c r="A31" s="314"/>
      <c r="B31" s="96" t="s">
        <v>4504</v>
      </c>
      <c r="C31" s="96"/>
      <c r="D31" s="96"/>
      <c r="E31" s="96"/>
      <c r="F31" s="96"/>
      <c r="G31" s="96"/>
      <c r="H31" s="96"/>
      <c r="I31" s="96"/>
      <c r="J31" s="314"/>
    </row>
    <row r="32" customFormat="false" ht="21.75" hidden="false" customHeight="true" outlineLevel="0" collapsed="false">
      <c r="A32" s="314"/>
      <c r="B32" s="97" t="s">
        <v>3465</v>
      </c>
      <c r="C32" s="319" t="s">
        <v>3466</v>
      </c>
      <c r="D32" s="319"/>
      <c r="E32" s="319"/>
      <c r="F32" s="319"/>
      <c r="G32" s="319"/>
      <c r="H32" s="319"/>
      <c r="I32" s="314"/>
      <c r="J32" s="314"/>
    </row>
    <row r="33" customFormat="false" ht="48.75" hidden="false" customHeight="true" outlineLevel="0" collapsed="false">
      <c r="A33" s="314"/>
      <c r="B33" s="1160" t="s">
        <v>4505</v>
      </c>
      <c r="C33" s="134" t="s">
        <v>4506</v>
      </c>
      <c r="D33" s="134"/>
      <c r="E33" s="134"/>
      <c r="F33" s="134"/>
      <c r="G33" s="134"/>
      <c r="H33" s="134"/>
      <c r="I33" s="314"/>
      <c r="J33" s="314"/>
    </row>
    <row r="34" customFormat="false" ht="48.75" hidden="false" customHeight="true" outlineLevel="0" collapsed="false">
      <c r="A34" s="314"/>
      <c r="B34" s="1160" t="s">
        <v>4507</v>
      </c>
      <c r="C34" s="134" t="s">
        <v>4508</v>
      </c>
      <c r="D34" s="134"/>
      <c r="E34" s="134"/>
      <c r="F34" s="134"/>
      <c r="G34" s="134"/>
      <c r="H34" s="134"/>
      <c r="I34" s="314"/>
      <c r="J34" s="314"/>
    </row>
    <row r="35" customFormat="false" ht="63.75" hidden="false" customHeight="true" outlineLevel="0" collapsed="false">
      <c r="A35" s="314"/>
      <c r="B35" s="1160" t="s">
        <v>2487</v>
      </c>
      <c r="C35" s="134" t="s">
        <v>4509</v>
      </c>
      <c r="D35" s="134"/>
      <c r="E35" s="134"/>
      <c r="F35" s="134"/>
      <c r="G35" s="134"/>
      <c r="H35" s="134"/>
      <c r="I35" s="314"/>
      <c r="J35" s="314"/>
    </row>
    <row r="36" customFormat="false" ht="63.75" hidden="false" customHeight="true" outlineLevel="0" collapsed="false">
      <c r="A36" s="314"/>
      <c r="B36" s="1160" t="s">
        <v>4510</v>
      </c>
      <c r="C36" s="134" t="s">
        <v>4511</v>
      </c>
      <c r="D36" s="134"/>
      <c r="E36" s="134"/>
      <c r="F36" s="134"/>
      <c r="G36" s="134"/>
      <c r="H36" s="134"/>
      <c r="I36" s="314"/>
      <c r="J36" s="314"/>
    </row>
    <row r="37" customFormat="false" ht="63.75" hidden="false" customHeight="true" outlineLevel="0" collapsed="false">
      <c r="A37" s="314"/>
      <c r="B37" s="1160" t="s">
        <v>4512</v>
      </c>
      <c r="C37" s="134" t="s">
        <v>4513</v>
      </c>
      <c r="D37" s="134"/>
      <c r="E37" s="134"/>
      <c r="F37" s="134"/>
      <c r="G37" s="134"/>
      <c r="H37" s="134"/>
      <c r="I37" s="314"/>
      <c r="J37" s="314"/>
    </row>
    <row r="38" customFormat="false" ht="48.75" hidden="false" customHeight="true" outlineLevel="0" collapsed="false">
      <c r="A38" s="314"/>
      <c r="B38" s="1160" t="s">
        <v>4514</v>
      </c>
      <c r="C38" s="134" t="s">
        <v>4515</v>
      </c>
      <c r="D38" s="134"/>
      <c r="E38" s="134"/>
      <c r="F38" s="134"/>
      <c r="G38" s="134"/>
      <c r="H38" s="134"/>
      <c r="I38" s="314"/>
      <c r="J38" s="314"/>
    </row>
    <row r="39" customFormat="false" ht="63.75" hidden="false" customHeight="true" outlineLevel="0" collapsed="false">
      <c r="A39" s="314"/>
      <c r="B39" s="1160" t="s">
        <v>4516</v>
      </c>
      <c r="C39" s="134" t="s">
        <v>3480</v>
      </c>
      <c r="D39" s="134"/>
      <c r="E39" s="134"/>
      <c r="F39" s="134"/>
      <c r="G39" s="134"/>
      <c r="H39" s="134"/>
      <c r="I39" s="314"/>
      <c r="J39" s="314"/>
    </row>
    <row r="40" customFormat="false" ht="48.75" hidden="false" customHeight="true" outlineLevel="0" collapsed="false">
      <c r="A40" s="314"/>
      <c r="B40" s="1160" t="s">
        <v>4517</v>
      </c>
      <c r="C40" s="134" t="s">
        <v>4518</v>
      </c>
      <c r="D40" s="134"/>
      <c r="E40" s="134"/>
      <c r="F40" s="134"/>
      <c r="G40" s="134"/>
      <c r="H40" s="134"/>
      <c r="I40" s="314"/>
      <c r="J40" s="31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616</v>
      </c>
      <c r="D52" s="99" t="s">
        <v>4531</v>
      </c>
      <c r="E52" s="98" t="s">
        <v>6924</v>
      </c>
      <c r="F52" s="98" t="s">
        <v>778</v>
      </c>
    </row>
    <row r="53" customFormat="false" ht="15" hidden="false" customHeight="true" outlineLevel="0" collapsed="false">
      <c r="B53" s="113" t="s">
        <v>3502</v>
      </c>
      <c r="C53" s="1161" t="n">
        <f aca="false">'Museum · Revenue'!E24</f>
        <v>488873.1</v>
      </c>
      <c r="D53" s="386" t="n">
        <f aca="false">SUM('Master Revenue'!D7:D15)</f>
        <v>6672022.15</v>
      </c>
      <c r="E53" s="1166" t="n">
        <f aca="false">C53/D53</f>
        <v>0.0732721038703386</v>
      </c>
      <c r="F53" s="107" t="s">
        <v>4533</v>
      </c>
    </row>
    <row r="54" customFormat="false" ht="15" hidden="false" customHeight="true" outlineLevel="0" collapsed="false">
      <c r="B54" s="113" t="s">
        <v>3504</v>
      </c>
      <c r="C54" s="1161" t="n">
        <f aca="false">'Museum · Costs'!C37</f>
        <v>239836.9</v>
      </c>
      <c r="D54" s="386" t="n">
        <f aca="false">SUM('Master Cost'!I7:I15)</f>
        <v>4022722.921025</v>
      </c>
      <c r="E54" s="1166" t="n">
        <f aca="false">C54/D54</f>
        <v>0.0596205368126346</v>
      </c>
      <c r="F54" s="107" t="s">
        <v>4534</v>
      </c>
    </row>
    <row r="55" customFormat="false" ht="15" hidden="false" customHeight="true" outlineLevel="0" collapsed="false">
      <c r="B55" s="113" t="s">
        <v>3460</v>
      </c>
      <c r="C55" s="1161" t="n">
        <f aca="false">'Museum · 8-Year'!K11</f>
        <v>4286681.85024478</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1500000</v>
      </c>
      <c r="D59" s="134" t="s">
        <v>4538</v>
      </c>
      <c r="E59" s="134"/>
      <c r="F59" s="134"/>
      <c r="G59" s="134"/>
      <c r="H59" s="134"/>
    </row>
    <row r="60" customFormat="false" ht="15" hidden="false" customHeight="true" outlineLevel="0" collapsed="false">
      <c r="B60" s="126" t="s">
        <v>3511</v>
      </c>
      <c r="C60" s="1161" t="n">
        <f aca="false">'Museum · Cash Flow'!K28</f>
        <v>1865791.63518761</v>
      </c>
      <c r="D60" s="134" t="s">
        <v>3512</v>
      </c>
      <c r="E60" s="134"/>
      <c r="F60" s="134"/>
      <c r="G60" s="134"/>
      <c r="H60" s="134"/>
    </row>
    <row r="61" customFormat="false" ht="15" hidden="false" customHeight="true" outlineLevel="0" collapsed="false">
      <c r="B61" s="113" t="s">
        <v>3513</v>
      </c>
      <c r="C61" s="1161" t="n">
        <f aca="false">'Museum · Cash Flow'!F28</f>
        <v>235342.878309635</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6.37367916451879</v>
      </c>
      <c r="D63" s="134" t="s">
        <v>3516</v>
      </c>
      <c r="E63" s="134"/>
      <c r="F63" s="134"/>
      <c r="G63" s="134"/>
      <c r="H63" s="134"/>
    </row>
    <row r="64" customFormat="false" ht="15" hidden="false" customHeight="true" outlineLevel="0" collapsed="false">
      <c r="B64" s="113" t="s">
        <v>3517</v>
      </c>
      <c r="C64" s="1169" t="n">
        <f aca="false">C61/C59</f>
        <v>0.156895252206423</v>
      </c>
      <c r="D64" s="134" t="s">
        <v>3518</v>
      </c>
      <c r="E64" s="134"/>
      <c r="F64" s="134"/>
      <c r="G64" s="134"/>
      <c r="H64" s="134"/>
    </row>
    <row r="65" customFormat="false" ht="15" hidden="false" customHeight="true" outlineLevel="0" collapsed="false">
      <c r="B65" s="113" t="s">
        <v>3519</v>
      </c>
      <c r="C65" s="1170" t="n">
        <f aca="false">(C60+C59)/C59</f>
        <v>2.24386109012507</v>
      </c>
      <c r="D65" s="134" t="s">
        <v>3520</v>
      </c>
      <c r="E65" s="134"/>
      <c r="F65" s="134"/>
      <c r="G65" s="134"/>
      <c r="H65" s="134"/>
    </row>
    <row r="66" customFormat="false" ht="15" hidden="false" customHeight="true" outlineLevel="0" collapsed="false">
      <c r="B66" s="113" t="s">
        <v>3523</v>
      </c>
      <c r="C66" s="1169" t="n">
        <f aca="false">C60/C59</f>
        <v>1.24386109012507</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63.75" hidden="false" customHeight="true" outlineLevel="0" collapsed="false">
      <c r="B70" s="1171" t="s">
        <v>6925</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8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46" activePane="bottomRight" state="frozen"/>
      <selection pane="topLeft" activeCell="A1" activeCellId="0" sqref="A1"/>
      <selection pane="topRight" activeCell="C1" activeCellId="0" sqref="C1"/>
      <selection pane="bottomLeft" activeCell="A46" activeCellId="0" sqref="A46"/>
      <selection pane="bottomRight" activeCell="C76" activeCellId="0" sqref="C76"/>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9"/>
    <col collapsed="false" customWidth="true" hidden="false" outlineLevel="0" max="8" min="8" style="0" width="28"/>
    <col collapsed="false" customWidth="true" hidden="false" outlineLevel="0" max="10" min="9" style="0" width="9"/>
    <col collapsed="false" customWidth="true" hidden="false" outlineLevel="0" max="11" min="11" style="0" width="12"/>
  </cols>
  <sheetData>
    <row r="1" customFormat="false" ht="3.75" hidden="false" customHeight="true" outlineLevel="0" collapsed="false">
      <c r="B1" s="1"/>
      <c r="C1" s="2"/>
      <c r="D1" s="2"/>
      <c r="E1" s="1"/>
      <c r="F1" s="2"/>
      <c r="G1" s="2"/>
      <c r="H1" s="2"/>
      <c r="I1" s="2"/>
      <c r="J1" s="2"/>
    </row>
    <row r="2" customFormat="false" ht="33.75" hidden="false" customHeight="true" outlineLevel="0" collapsed="false">
      <c r="B2" s="878" t="s">
        <v>6926</v>
      </c>
      <c r="C2" s="878"/>
      <c r="D2" s="878"/>
      <c r="E2" s="878"/>
      <c r="F2" s="878"/>
      <c r="G2" s="89" t="s">
        <v>3432</v>
      </c>
      <c r="H2" s="89"/>
      <c r="I2" s="89"/>
      <c r="J2" s="89"/>
    </row>
    <row r="3" customFormat="false" ht="33.75" hidden="false" customHeight="true" outlineLevel="0" collapsed="false">
      <c r="B3" s="90" t="s">
        <v>6927</v>
      </c>
      <c r="C3" s="90"/>
      <c r="D3" s="90"/>
      <c r="E3" s="90"/>
      <c r="F3" s="90"/>
      <c r="G3" s="90"/>
      <c r="H3" s="90"/>
      <c r="I3" s="90"/>
      <c r="J3" s="90"/>
    </row>
    <row r="4" customFormat="false" ht="19.5" hidden="false" customHeight="true" outlineLevel="0" collapsed="false">
      <c r="B4" s="6"/>
      <c r="E4" s="6"/>
      <c r="G4" s="367" t="s">
        <v>4543</v>
      </c>
      <c r="H4" s="367"/>
    </row>
    <row r="5" customFormat="false" ht="33.75" hidden="false" customHeight="true" outlineLevel="0" collapsed="false">
      <c r="B5" s="96" t="s">
        <v>4544</v>
      </c>
      <c r="C5" s="96"/>
      <c r="D5" s="96"/>
      <c r="E5" s="96"/>
      <c r="G5" s="919" t="str">
        <f aca="false">PROPER('Museum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26" t="s">
        <v>6928</v>
      </c>
      <c r="C7" s="1172" t="n">
        <v>72.25</v>
      </c>
      <c r="D7" s="1173" t="n">
        <v>85</v>
      </c>
      <c r="E7" s="1174" t="n">
        <v>93.5</v>
      </c>
      <c r="H7" s="565" t="s">
        <v>6929</v>
      </c>
    </row>
    <row r="8" customFormat="false" ht="16.5" hidden="false" customHeight="true" outlineLevel="0" collapsed="false">
      <c r="B8" s="113" t="s">
        <v>6930</v>
      </c>
      <c r="C8" s="1172" t="n">
        <v>280</v>
      </c>
      <c r="D8" s="1173" t="n">
        <v>300</v>
      </c>
      <c r="E8" s="1174" t="n">
        <v>320</v>
      </c>
      <c r="H8" s="565" t="s">
        <v>6931</v>
      </c>
    </row>
    <row r="9" customFormat="false" ht="15" hidden="false" customHeight="true" outlineLevel="0" collapsed="false">
      <c r="B9" s="6"/>
      <c r="E9" s="6"/>
    </row>
    <row r="10" customFormat="false" ht="16.5" hidden="false" customHeight="true" outlineLevel="0" collapsed="false">
      <c r="B10" s="113" t="s">
        <v>6932</v>
      </c>
      <c r="C10" s="923" t="n">
        <v>0.264</v>
      </c>
      <c r="D10" s="924" t="n">
        <v>0.3</v>
      </c>
      <c r="E10" s="925" t="n">
        <v>0.324</v>
      </c>
      <c r="H10" s="565" t="s">
        <v>6933</v>
      </c>
    </row>
    <row r="11" customFormat="false" ht="16.5" hidden="false" customHeight="true" outlineLevel="0" collapsed="false">
      <c r="B11" s="113" t="s">
        <v>6934</v>
      </c>
      <c r="C11" s="923" t="n">
        <v>0.5</v>
      </c>
      <c r="D11" s="924" t="n">
        <v>0.45</v>
      </c>
      <c r="E11" s="925" t="n">
        <v>0.4</v>
      </c>
      <c r="H11" s="565" t="s">
        <v>6935</v>
      </c>
    </row>
    <row r="12" customFormat="false" ht="16.5" hidden="false" customHeight="true" outlineLevel="0" collapsed="false">
      <c r="B12" s="126" t="s">
        <v>6936</v>
      </c>
      <c r="C12" s="923" t="n">
        <v>0.3</v>
      </c>
      <c r="D12" s="924" t="n">
        <v>0.25</v>
      </c>
      <c r="E12" s="925" t="n">
        <v>0.2</v>
      </c>
      <c r="H12" s="565" t="s">
        <v>6937</v>
      </c>
    </row>
    <row r="13" customFormat="false" ht="15" hidden="false" customHeight="true" outlineLevel="0" collapsed="false">
      <c r="B13" s="6"/>
      <c r="E13" s="6"/>
    </row>
    <row r="14" customFormat="false" ht="16.5" hidden="false" customHeight="true" outlineLevel="0" collapsed="false">
      <c r="B14" s="113" t="s">
        <v>6938</v>
      </c>
      <c r="C14" s="927" t="n">
        <v>14.45</v>
      </c>
      <c r="D14" s="928" t="n">
        <v>17</v>
      </c>
      <c r="E14" s="929" t="n">
        <v>18.7</v>
      </c>
      <c r="H14" s="565" t="s">
        <v>6939</v>
      </c>
    </row>
    <row r="15" customFormat="false" ht="16.5" hidden="false" customHeight="true" outlineLevel="0" collapsed="false">
      <c r="B15" s="113" t="s">
        <v>6940</v>
      </c>
      <c r="C15" s="927" t="n">
        <v>9.775</v>
      </c>
      <c r="D15" s="928" t="n">
        <v>11.5</v>
      </c>
      <c r="E15" s="929" t="n">
        <v>12.65</v>
      </c>
      <c r="H15" s="565" t="s">
        <v>6941</v>
      </c>
    </row>
    <row r="16" customFormat="false" ht="16.5" hidden="false" customHeight="true" outlineLevel="0" collapsed="false">
      <c r="B16" s="113" t="s">
        <v>6942</v>
      </c>
      <c r="C16" s="927" t="n">
        <v>5.74</v>
      </c>
      <c r="D16" s="928" t="n">
        <v>7</v>
      </c>
      <c r="E16" s="929" t="n">
        <v>7.7</v>
      </c>
      <c r="H16" s="565" t="s">
        <v>6943</v>
      </c>
    </row>
    <row r="17" customFormat="false" ht="15" hidden="false" customHeight="true" outlineLevel="0" collapsed="false">
      <c r="B17" s="6"/>
      <c r="E17" s="6"/>
    </row>
    <row r="18" customFormat="false" ht="16.5" hidden="false" customHeight="true" outlineLevel="0" collapsed="false">
      <c r="B18" s="113" t="s">
        <v>6944</v>
      </c>
      <c r="C18" s="923" t="n">
        <v>0.22</v>
      </c>
      <c r="D18" s="924" t="n">
        <v>0.25</v>
      </c>
      <c r="E18" s="925" t="n">
        <v>0.27</v>
      </c>
      <c r="H18" s="565" t="s">
        <v>6945</v>
      </c>
    </row>
    <row r="19" customFormat="false" ht="16.5" hidden="false" customHeight="true" outlineLevel="0" collapsed="false">
      <c r="B19" s="113" t="s">
        <v>6946</v>
      </c>
      <c r="C19" s="927" t="n">
        <v>3.28</v>
      </c>
      <c r="D19" s="928" t="n">
        <v>4</v>
      </c>
      <c r="E19" s="929" t="n">
        <v>4.4</v>
      </c>
      <c r="H19" s="565" t="s">
        <v>6947</v>
      </c>
    </row>
    <row r="20" customFormat="false" ht="15" hidden="false" customHeight="true" outlineLevel="0" collapsed="false">
      <c r="B20" s="6"/>
      <c r="E20" s="6"/>
    </row>
    <row r="21" customFormat="false" ht="16.5" hidden="false" customHeight="true" outlineLevel="0" collapsed="false">
      <c r="B21" s="126" t="s">
        <v>6948</v>
      </c>
      <c r="C21" s="923" t="n">
        <v>0.22</v>
      </c>
      <c r="D21" s="924" t="n">
        <v>0.25</v>
      </c>
      <c r="E21" s="925" t="n">
        <v>0.27</v>
      </c>
      <c r="H21" s="565" t="s">
        <v>6949</v>
      </c>
    </row>
    <row r="22" customFormat="false" ht="16.5" hidden="false" customHeight="true" outlineLevel="0" collapsed="false">
      <c r="B22" s="113" t="s">
        <v>6950</v>
      </c>
      <c r="C22" s="927" t="n">
        <v>11.48</v>
      </c>
      <c r="D22" s="928" t="n">
        <v>14</v>
      </c>
      <c r="E22" s="929" t="n">
        <v>15.4</v>
      </c>
      <c r="H22" s="565" t="s">
        <v>6951</v>
      </c>
    </row>
    <row r="23" customFormat="false" ht="15" hidden="false" customHeight="true" outlineLevel="0" collapsed="false">
      <c r="B23" s="6"/>
      <c r="E23" s="6"/>
    </row>
    <row r="24" customFormat="false" ht="16.5" hidden="false" customHeight="true" outlineLevel="0" collapsed="false">
      <c r="B24" s="126" t="s">
        <v>6952</v>
      </c>
      <c r="C24" s="923" t="n">
        <v>0.0704</v>
      </c>
      <c r="D24" s="924" t="n">
        <v>0.08</v>
      </c>
      <c r="E24" s="925" t="n">
        <v>0.0864</v>
      </c>
      <c r="H24" s="565" t="s">
        <v>6953</v>
      </c>
    </row>
    <row r="25" customFormat="false" ht="16.5" hidden="false" customHeight="true" outlineLevel="0" collapsed="false">
      <c r="B25" s="113" t="s">
        <v>6954</v>
      </c>
      <c r="C25" s="1424" t="n">
        <v>4.92</v>
      </c>
      <c r="D25" s="1425" t="n">
        <v>6</v>
      </c>
      <c r="E25" s="1426" t="n">
        <v>6.6</v>
      </c>
      <c r="H25" s="565" t="s">
        <v>6955</v>
      </c>
    </row>
    <row r="26" customFormat="false" ht="6" hidden="false" customHeight="true" outlineLevel="0" collapsed="false">
      <c r="B26" s="6"/>
      <c r="E26" s="6"/>
    </row>
    <row r="27" customFormat="false" ht="21.75" hidden="false" customHeight="true" outlineLevel="0" collapsed="false">
      <c r="B27" s="125" t="s">
        <v>6375</v>
      </c>
      <c r="C27" s="125"/>
      <c r="D27" s="125"/>
      <c r="E27" s="125"/>
      <c r="F27" s="125"/>
      <c r="G27" s="125"/>
      <c r="H27" s="125"/>
    </row>
    <row r="28" customFormat="false" ht="18" hidden="false" customHeight="true" outlineLevel="0" collapsed="false">
      <c r="B28" s="113" t="s">
        <v>6956</v>
      </c>
      <c r="C28" s="1175" t="n">
        <f aca="false">IF($G$5="Bear",C7,IF($G$5="Bull",E7,D7))</f>
        <v>85</v>
      </c>
      <c r="E28" s="6"/>
      <c r="H28" s="565" t="s">
        <v>6957</v>
      </c>
    </row>
    <row r="29" customFormat="false" ht="18" hidden="false" customHeight="true" outlineLevel="0" collapsed="false">
      <c r="B29" s="113" t="s">
        <v>6958</v>
      </c>
      <c r="C29" s="1175" t="n">
        <f aca="false">IF($G$5="Bear",C8,IF($G$5="Bull",E8,D8))</f>
        <v>300</v>
      </c>
      <c r="E29" s="6"/>
      <c r="H29" s="565" t="s">
        <v>6957</v>
      </c>
    </row>
    <row r="30" customFormat="false" ht="18" hidden="false" customHeight="true" outlineLevel="0" collapsed="false">
      <c r="B30" s="113" t="s">
        <v>6959</v>
      </c>
      <c r="C30" s="1330" t="n">
        <f aca="false">IF($G$5="Bear",C10,IF($G$5="Bull",E10,D10))</f>
        <v>0.3</v>
      </c>
      <c r="E30" s="6"/>
      <c r="H30" s="565" t="s">
        <v>6960</v>
      </c>
    </row>
    <row r="31" customFormat="false" ht="18" hidden="false" customHeight="true" outlineLevel="0" collapsed="false">
      <c r="B31" s="113" t="s">
        <v>6961</v>
      </c>
      <c r="C31" s="1330" t="n">
        <f aca="false">IF($G$5="Bear",C11,IF($G$5="Bull",E11,D11))</f>
        <v>0.45</v>
      </c>
      <c r="E31" s="6"/>
      <c r="H31" s="565" t="s">
        <v>6960</v>
      </c>
    </row>
    <row r="32" customFormat="false" ht="18" hidden="false" customHeight="true" outlineLevel="0" collapsed="false">
      <c r="B32" s="113" t="s">
        <v>6962</v>
      </c>
      <c r="C32" s="1330" t="n">
        <f aca="false">IF($G$5="Bear",C12,IF($G$5="Bull",E12,D12))</f>
        <v>0.25</v>
      </c>
      <c r="E32" s="6"/>
      <c r="H32" s="565" t="s">
        <v>6960</v>
      </c>
    </row>
    <row r="33" customFormat="false" ht="18" hidden="false" customHeight="true" outlineLevel="0" collapsed="false">
      <c r="B33" s="113" t="s">
        <v>6963</v>
      </c>
      <c r="C33" s="1176" t="n">
        <f aca="false">IF($G$5="Bear",C14,IF($G$5="Bull",E14,D14))</f>
        <v>17</v>
      </c>
      <c r="E33" s="6"/>
      <c r="H33" s="565" t="s">
        <v>6964</v>
      </c>
    </row>
    <row r="34" customFormat="false" ht="18" hidden="false" customHeight="true" outlineLevel="0" collapsed="false">
      <c r="B34" s="113" t="s">
        <v>6965</v>
      </c>
      <c r="C34" s="1176" t="n">
        <f aca="false">IF($G$5="Bear",C15,IF($G$5="Bull",E15,D15))</f>
        <v>11.5</v>
      </c>
      <c r="E34" s="6"/>
      <c r="H34" s="565" t="s">
        <v>6964</v>
      </c>
    </row>
    <row r="35" customFormat="false" ht="18" hidden="false" customHeight="true" outlineLevel="0" collapsed="false">
      <c r="B35" s="113" t="s">
        <v>6966</v>
      </c>
      <c r="C35" s="1176" t="n">
        <f aca="false">IF($G$5="Bear",C16,IF($G$5="Bull",E16,D16))</f>
        <v>7</v>
      </c>
      <c r="E35" s="6"/>
      <c r="H35" s="565" t="s">
        <v>6964</v>
      </c>
    </row>
    <row r="36" customFormat="false" ht="18" hidden="false" customHeight="true" outlineLevel="0" collapsed="false">
      <c r="B36" s="113" t="s">
        <v>6967</v>
      </c>
      <c r="C36" s="1330" t="n">
        <f aca="false">IF($G$5="Bear",C18,IF($G$5="Bull",E18,D18))</f>
        <v>0.25</v>
      </c>
      <c r="E36" s="6"/>
      <c r="H36" s="565" t="s">
        <v>6968</v>
      </c>
    </row>
    <row r="37" customFormat="false" ht="18" hidden="false" customHeight="true" outlineLevel="0" collapsed="false">
      <c r="B37" s="113" t="s">
        <v>6969</v>
      </c>
      <c r="C37" s="1176" t="n">
        <f aca="false">IF($G$5="Bear",C19,IF($G$5="Bull",E19,D19))</f>
        <v>4</v>
      </c>
      <c r="E37" s="6"/>
      <c r="H37" s="565" t="s">
        <v>6968</v>
      </c>
    </row>
    <row r="38" customFormat="false" ht="18" hidden="false" customHeight="true" outlineLevel="0" collapsed="false">
      <c r="B38" s="113" t="s">
        <v>6970</v>
      </c>
      <c r="C38" s="1330" t="n">
        <f aca="false">IF($G$5="Bear",C21,IF($G$5="Bull",E21,D21))</f>
        <v>0.25</v>
      </c>
      <c r="E38" s="6"/>
      <c r="H38" s="565" t="s">
        <v>6971</v>
      </c>
    </row>
    <row r="39" customFormat="false" ht="18" hidden="false" customHeight="true" outlineLevel="0" collapsed="false">
      <c r="B39" s="113" t="s">
        <v>6972</v>
      </c>
      <c r="C39" s="1176" t="n">
        <f aca="false">IF($G$5="Bear",C22,IF($G$5="Bull",E22,D22))</f>
        <v>14</v>
      </c>
      <c r="E39" s="6"/>
      <c r="H39" s="565" t="s">
        <v>6971</v>
      </c>
    </row>
    <row r="40" customFormat="false" ht="18" hidden="false" customHeight="true" outlineLevel="0" collapsed="false">
      <c r="B40" s="113" t="s">
        <v>6973</v>
      </c>
      <c r="C40" s="1330" t="n">
        <f aca="false">IF($G$5="Bear",C24,IF($G$5="Bull",E24,D24))</f>
        <v>0.08</v>
      </c>
      <c r="E40" s="6"/>
      <c r="H40" s="565" t="s">
        <v>6974</v>
      </c>
    </row>
    <row r="41" customFormat="false" ht="18" hidden="false" customHeight="true" outlineLevel="0" collapsed="false">
      <c r="B41" s="113" t="s">
        <v>6975</v>
      </c>
      <c r="C41" s="1427" t="n">
        <f aca="false">IF($G$5="Bear",C25,IF($G$5="Bull",E25,D25))</f>
        <v>6</v>
      </c>
      <c r="E41" s="6"/>
      <c r="H41" s="565" t="s">
        <v>6974</v>
      </c>
    </row>
    <row r="42" customFormat="false" ht="6" hidden="false" customHeight="true" outlineLevel="0" collapsed="false">
      <c r="B42" s="6"/>
      <c r="E42" s="6"/>
    </row>
    <row r="43" customFormat="false" ht="33.75" hidden="false" customHeight="true" outlineLevel="0" collapsed="false">
      <c r="B43" s="555" t="s">
        <v>6976</v>
      </c>
      <c r="C43" s="555"/>
      <c r="D43" s="555"/>
      <c r="E43" s="555"/>
      <c r="F43" s="555"/>
      <c r="G43" s="555"/>
      <c r="H43" s="555"/>
    </row>
    <row r="44" customFormat="false" ht="16.5" hidden="false" customHeight="true" outlineLevel="0" collapsed="false">
      <c r="B44" s="126" t="s">
        <v>6977</v>
      </c>
      <c r="C44" s="1443" t="n">
        <v>46800</v>
      </c>
      <c r="D44" s="1269" t="s">
        <v>6978</v>
      </c>
      <c r="E44" s="6"/>
      <c r="H44" s="565" t="s">
        <v>6979</v>
      </c>
    </row>
    <row r="45" customFormat="false" ht="16.5" hidden="false" customHeight="true" outlineLevel="0" collapsed="false">
      <c r="B45" s="126" t="s">
        <v>6980</v>
      </c>
      <c r="C45" s="1443" t="n">
        <v>195</v>
      </c>
      <c r="D45" s="1269" t="s">
        <v>6978</v>
      </c>
      <c r="E45" s="6"/>
      <c r="H45" s="565" t="s">
        <v>6981</v>
      </c>
    </row>
    <row r="46" customFormat="false" ht="16.5" hidden="false" customHeight="true" outlineLevel="0" collapsed="false">
      <c r="B46" s="126" t="s">
        <v>6982</v>
      </c>
      <c r="C46" s="1443" t="n">
        <v>31200</v>
      </c>
      <c r="D46" s="1269" t="s">
        <v>6978</v>
      </c>
      <c r="E46" s="6"/>
      <c r="H46" s="565" t="s">
        <v>6983</v>
      </c>
    </row>
    <row r="47" customFormat="false" ht="6" hidden="false" customHeight="true" outlineLevel="0" collapsed="false">
      <c r="B47" s="6"/>
      <c r="E47" s="6"/>
    </row>
    <row r="48" customFormat="false" ht="33.75" hidden="false" customHeight="true" outlineLevel="0" collapsed="false">
      <c r="B48" s="125" t="s">
        <v>6984</v>
      </c>
      <c r="C48" s="125"/>
      <c r="D48" s="125"/>
      <c r="E48" s="125"/>
      <c r="F48" s="125"/>
      <c r="G48" s="125"/>
      <c r="H48" s="125"/>
    </row>
    <row r="49" customFormat="false" ht="16.5" hidden="false" customHeight="true" outlineLevel="0" collapsed="false">
      <c r="B49" s="905" t="s">
        <v>6985</v>
      </c>
      <c r="C49" s="1428" t="n">
        <f aca="false">C28*C29</f>
        <v>25500</v>
      </c>
      <c r="E49" s="6"/>
      <c r="H49" s="565" t="s">
        <v>6986</v>
      </c>
    </row>
    <row r="50" customFormat="false" ht="16.5" hidden="false" customHeight="true" outlineLevel="0" collapsed="false">
      <c r="B50" s="113" t="s">
        <v>6987</v>
      </c>
      <c r="C50" s="1002" t="n">
        <f aca="false">C49*C30</f>
        <v>7650</v>
      </c>
      <c r="E50" s="6"/>
      <c r="H50" s="565" t="s">
        <v>6988</v>
      </c>
    </row>
    <row r="51" customFormat="false" ht="16.5" hidden="false" customHeight="true" outlineLevel="0" collapsed="false">
      <c r="B51" s="113" t="s">
        <v>6989</v>
      </c>
      <c r="C51" s="1002" t="n">
        <f aca="false">C49*C31</f>
        <v>11475</v>
      </c>
      <c r="E51" s="6"/>
      <c r="H51" s="565" t="s">
        <v>6990</v>
      </c>
    </row>
    <row r="52" customFormat="false" ht="16.5" hidden="false" customHeight="true" outlineLevel="0" collapsed="false">
      <c r="B52" s="113" t="s">
        <v>6991</v>
      </c>
      <c r="C52" s="1002" t="n">
        <f aca="false">C49*C32</f>
        <v>6375</v>
      </c>
      <c r="E52" s="6"/>
      <c r="H52" s="565" t="s">
        <v>6992</v>
      </c>
    </row>
    <row r="53" customFormat="false" ht="16.5" hidden="false" customHeight="true" outlineLevel="0" collapsed="false">
      <c r="B53" s="113" t="s">
        <v>6993</v>
      </c>
      <c r="C53" s="1002" t="n">
        <f aca="false">C44+C45*12+C46</f>
        <v>80340</v>
      </c>
      <c r="E53" s="6"/>
      <c r="H53" s="565" t="s">
        <v>6994</v>
      </c>
    </row>
    <row r="54" customFormat="false" ht="16.5" hidden="false" customHeight="true" outlineLevel="0" collapsed="false">
      <c r="B54" s="1061" t="s">
        <v>6995</v>
      </c>
      <c r="C54" s="1428" t="n">
        <f aca="false">C53*C40</f>
        <v>6427.2</v>
      </c>
      <c r="E54" s="6"/>
      <c r="H54" s="565" t="s">
        <v>6996</v>
      </c>
    </row>
    <row r="55" customFormat="false" ht="16.5" hidden="false" customHeight="true" outlineLevel="0" collapsed="false">
      <c r="B55" s="905" t="s">
        <v>6997</v>
      </c>
      <c r="C55" s="1428" t="n">
        <f aca="false">C49+C54</f>
        <v>31927.2</v>
      </c>
      <c r="E55" s="6"/>
      <c r="H55" s="565" t="s">
        <v>6998</v>
      </c>
    </row>
    <row r="56" customFormat="false" ht="16.5" hidden="false" customHeight="true" outlineLevel="0" collapsed="false">
      <c r="B56" s="1061" t="s">
        <v>6999</v>
      </c>
      <c r="C56" s="1430" t="n">
        <f aca="false">C30*C33+C31*C34+C32*C35</f>
        <v>12.025</v>
      </c>
      <c r="E56" s="6"/>
      <c r="H56" s="565" t="s">
        <v>7000</v>
      </c>
    </row>
    <row r="57" customFormat="false" ht="6" hidden="false" customHeight="true" outlineLevel="0" collapsed="false">
      <c r="B57" s="6"/>
      <c r="E57" s="6"/>
    </row>
    <row r="58" customFormat="false" ht="33.75" hidden="false" customHeight="true" outlineLevel="0" collapsed="false">
      <c r="B58" s="555" t="s">
        <v>7001</v>
      </c>
      <c r="C58" s="555"/>
      <c r="D58" s="555"/>
      <c r="E58" s="555"/>
      <c r="F58" s="555"/>
      <c r="G58" s="555"/>
      <c r="H58" s="555"/>
    </row>
    <row r="59" customFormat="false" ht="15" hidden="false" customHeight="true" outlineLevel="0" collapsed="false">
      <c r="B59" s="113" t="s">
        <v>7002</v>
      </c>
      <c r="C59" s="1338" t="n">
        <v>0.4</v>
      </c>
      <c r="E59" s="6"/>
      <c r="H59" s="0" t="s">
        <v>7003</v>
      </c>
    </row>
    <row r="60" customFormat="false" ht="15" hidden="false" customHeight="true" outlineLevel="0" collapsed="false">
      <c r="B60" s="113" t="s">
        <v>7004</v>
      </c>
      <c r="C60" s="605" t="n">
        <v>6</v>
      </c>
      <c r="E60" s="6"/>
      <c r="H60" s="0" t="s">
        <v>7005</v>
      </c>
    </row>
    <row r="61" customFormat="false" ht="16.5" hidden="false" customHeight="true" outlineLevel="0" collapsed="false">
      <c r="B61" s="1061" t="s">
        <v>7006</v>
      </c>
      <c r="C61" s="1344" t="n">
        <f aca="false">C55*C59*C60</f>
        <v>76625.28</v>
      </c>
      <c r="E61" s="6"/>
      <c r="H61" s="565" t="s">
        <v>7007</v>
      </c>
    </row>
    <row r="62" customFormat="false" ht="15" hidden="false" customHeight="true" outlineLevel="0" collapsed="false">
      <c r="B62" s="126" t="s">
        <v>7008</v>
      </c>
      <c r="C62" s="1295" t="n">
        <v>0.02</v>
      </c>
      <c r="E62" s="6"/>
      <c r="H62" s="0" t="s">
        <v>7009</v>
      </c>
    </row>
    <row r="63" customFormat="false" ht="16.5" hidden="false" customHeight="true" outlineLevel="0" collapsed="false">
      <c r="B63" s="1061" t="s">
        <v>7010</v>
      </c>
      <c r="C63" s="1428" t="n">
        <f aca="false">C55*C62</f>
        <v>638.544</v>
      </c>
      <c r="E63" s="6"/>
      <c r="H63" s="565" t="s">
        <v>7011</v>
      </c>
    </row>
    <row r="64" customFormat="false" ht="6" hidden="false" customHeight="true" outlineLevel="0" collapsed="false">
      <c r="B64" s="6"/>
      <c r="E64" s="6"/>
    </row>
    <row r="65" customFormat="false" ht="21.75" hidden="false" customHeight="true" outlineLevel="0" collapsed="false">
      <c r="B65" s="96" t="s">
        <v>4601</v>
      </c>
      <c r="C65" s="96"/>
      <c r="D65" s="96"/>
      <c r="E65" s="96"/>
      <c r="F65" s="96"/>
      <c r="G65" s="96"/>
      <c r="H65" s="96"/>
    </row>
    <row r="66" customFormat="false" ht="15" hidden="false" customHeight="true" outlineLevel="0" collapsed="false">
      <c r="B66" s="6"/>
      <c r="E66" s="6"/>
    </row>
    <row r="67" customFormat="false" ht="15" hidden="false" customHeight="true" outlineLevel="0" collapsed="false">
      <c r="B67" s="81" t="s">
        <v>4602</v>
      </c>
      <c r="E67" s="6"/>
    </row>
    <row r="68" customFormat="false" ht="16.5" hidden="false" customHeight="true" outlineLevel="0" collapsed="false">
      <c r="B68" s="126" t="s">
        <v>7012</v>
      </c>
      <c r="C68" s="945" t="n">
        <v>30000</v>
      </c>
      <c r="E68" s="6"/>
      <c r="H68" s="565" t="s">
        <v>7013</v>
      </c>
    </row>
    <row r="69" customFormat="false" ht="16.5" hidden="false" customHeight="true" outlineLevel="0" collapsed="false">
      <c r="B69" s="126" t="s">
        <v>7014</v>
      </c>
      <c r="C69" s="945" t="n">
        <v>24000</v>
      </c>
      <c r="E69" s="6"/>
      <c r="H69" s="565" t="s">
        <v>7015</v>
      </c>
    </row>
    <row r="70" customFormat="false" ht="16.5" hidden="false" customHeight="true" outlineLevel="0" collapsed="false">
      <c r="B70" s="126" t="s">
        <v>7016</v>
      </c>
      <c r="C70" s="945" t="n">
        <v>25000</v>
      </c>
      <c r="E70" s="6"/>
      <c r="H70" s="538" t="s">
        <v>7017</v>
      </c>
    </row>
    <row r="71" customFormat="false" ht="33.75" hidden="false" customHeight="true" outlineLevel="0" collapsed="false">
      <c r="B71" s="126" t="s">
        <v>7018</v>
      </c>
      <c r="C71" s="945" t="n">
        <v>10800</v>
      </c>
      <c r="E71" s="6"/>
      <c r="H71" s="538" t="s">
        <v>7019</v>
      </c>
    </row>
    <row r="72" customFormat="false" ht="16.5" hidden="false" customHeight="true" outlineLevel="0" collapsed="false">
      <c r="B72" s="126" t="s">
        <v>7020</v>
      </c>
      <c r="C72" s="945" t="n">
        <v>5400</v>
      </c>
      <c r="E72" s="6"/>
      <c r="H72" s="538" t="s">
        <v>7021</v>
      </c>
    </row>
    <row r="73" customFormat="false" ht="15" hidden="false" customHeight="true" outlineLevel="0" collapsed="false">
      <c r="B73" s="6"/>
      <c r="E73" s="6"/>
    </row>
    <row r="74" customFormat="false" ht="16.5" hidden="false" customHeight="true" outlineLevel="0" collapsed="false">
      <c r="B74" s="126" t="s">
        <v>7022</v>
      </c>
      <c r="C74" s="945" t="n">
        <v>36000</v>
      </c>
      <c r="E74" s="6"/>
      <c r="H74" s="565" t="s">
        <v>7023</v>
      </c>
    </row>
    <row r="75" customFormat="false" ht="16.5" hidden="false" customHeight="true" outlineLevel="0" collapsed="false">
      <c r="B75" s="113" t="s">
        <v>7024</v>
      </c>
      <c r="C75" s="945" t="n">
        <v>40000</v>
      </c>
      <c r="E75" s="6"/>
      <c r="H75" s="565" t="s">
        <v>7025</v>
      </c>
    </row>
    <row r="76" customFormat="false" ht="16.5" hidden="false" customHeight="true" outlineLevel="0" collapsed="false">
      <c r="B76" s="113" t="s">
        <v>4612</v>
      </c>
      <c r="C76" s="945" t="n">
        <v>0</v>
      </c>
      <c r="E76" s="6"/>
      <c r="H76" s="565" t="s">
        <v>4613</v>
      </c>
    </row>
    <row r="77" customFormat="false" ht="16.5" hidden="false" customHeight="true" outlineLevel="0" collapsed="false">
      <c r="B77" s="113" t="s">
        <v>7026</v>
      </c>
      <c r="C77" s="945" t="n">
        <v>0</v>
      </c>
      <c r="E77" s="6"/>
      <c r="H77" s="565" t="s">
        <v>3640</v>
      </c>
    </row>
    <row r="78" customFormat="false" ht="16.5" hidden="false" customHeight="true" outlineLevel="0" collapsed="false">
      <c r="B78" s="126" t="s">
        <v>7027</v>
      </c>
      <c r="C78" s="945" t="n">
        <v>6000</v>
      </c>
      <c r="E78" s="6"/>
      <c r="H78" s="565" t="s">
        <v>7028</v>
      </c>
    </row>
    <row r="79" customFormat="false" ht="16.5" hidden="false" customHeight="true" outlineLevel="0" collapsed="false">
      <c r="B79" s="113" t="s">
        <v>7029</v>
      </c>
      <c r="C79" s="945" t="n">
        <v>0</v>
      </c>
      <c r="E79" s="6"/>
      <c r="H79" s="565" t="s">
        <v>7030</v>
      </c>
    </row>
    <row r="80" customFormat="false" ht="16.5" hidden="false" customHeight="true" outlineLevel="0" collapsed="false">
      <c r="B80" s="126" t="s">
        <v>7031</v>
      </c>
      <c r="C80" s="945" t="n">
        <v>0</v>
      </c>
      <c r="E80" s="6"/>
      <c r="H80" s="565" t="s">
        <v>7032</v>
      </c>
    </row>
    <row r="81" customFormat="false" ht="15" hidden="false" customHeight="true" outlineLevel="0" collapsed="false">
      <c r="B81" s="6"/>
      <c r="E81" s="6"/>
    </row>
    <row r="82" customFormat="false" ht="15" hidden="false" customHeight="true" outlineLevel="0" collapsed="false">
      <c r="B82" s="81" t="s">
        <v>7033</v>
      </c>
      <c r="E82" s="6"/>
    </row>
    <row r="83" customFormat="false" ht="16.5" hidden="false" customHeight="true" outlineLevel="0" collapsed="false">
      <c r="B83" s="126" t="s">
        <v>7034</v>
      </c>
      <c r="C83" s="936" t="n">
        <v>0.5</v>
      </c>
      <c r="E83" s="6"/>
      <c r="H83" s="565" t="s">
        <v>7035</v>
      </c>
    </row>
    <row r="84" customFormat="false" ht="16.5" hidden="false" customHeight="true" outlineLevel="0" collapsed="false">
      <c r="B84" s="126" t="s">
        <v>7036</v>
      </c>
      <c r="C84" s="960" t="n">
        <v>0.025</v>
      </c>
      <c r="E84" s="6"/>
      <c r="H84" s="565" t="s">
        <v>7037</v>
      </c>
    </row>
    <row r="85" customFormat="false" ht="16.5" hidden="false" customHeight="true" outlineLevel="0" collapsed="false">
      <c r="B85" s="126" t="s">
        <v>7038</v>
      </c>
      <c r="C85" s="951" t="n">
        <v>0.5</v>
      </c>
      <c r="E85" s="6"/>
      <c r="H85" s="565" t="s">
        <v>7039</v>
      </c>
    </row>
  </sheetData>
  <mergeCells count="10">
    <mergeCell ref="B2:F2"/>
    <mergeCell ref="G2:J2"/>
    <mergeCell ref="B3:J3"/>
    <mergeCell ref="G4:H4"/>
    <mergeCell ref="B5:E5"/>
    <mergeCell ref="B27:H27"/>
    <mergeCell ref="B43:H43"/>
    <mergeCell ref="B48:H48"/>
    <mergeCell ref="B58:H58"/>
    <mergeCell ref="B65:H6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H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18"/>
    <col collapsed="false" customWidth="true" hidden="false" outlineLevel="0" max="6" min="5" style="0" width="15"/>
    <col collapsed="false" customWidth="true" hidden="false" outlineLevel="0" max="8" min="7" style="0" width="28"/>
  </cols>
  <sheetData>
    <row r="1" customFormat="false" ht="3.75" hidden="false" customHeight="true" outlineLevel="0" collapsed="false">
      <c r="B1" s="1"/>
      <c r="C1" s="2"/>
      <c r="D1" s="1"/>
      <c r="E1" s="2"/>
      <c r="F1" s="2"/>
      <c r="G1" s="2"/>
    </row>
    <row r="2" customFormat="false" ht="27.75" hidden="false" customHeight="true" outlineLevel="0" collapsed="false">
      <c r="B2" s="15" t="s">
        <v>7040</v>
      </c>
      <c r="C2" s="15"/>
      <c r="D2" s="15"/>
      <c r="E2" s="15"/>
      <c r="F2" s="89" t="s">
        <v>995</v>
      </c>
      <c r="G2" s="89"/>
    </row>
    <row r="3" customFormat="false" ht="33.75" hidden="false" customHeight="true" outlineLevel="0" collapsed="false">
      <c r="B3" s="529" t="s">
        <v>7041</v>
      </c>
      <c r="C3" s="529"/>
      <c r="D3" s="529"/>
      <c r="E3" s="529"/>
      <c r="F3" s="529"/>
      <c r="G3" s="529"/>
    </row>
    <row r="4" customFormat="false" ht="33.75" hidden="false" customHeight="true" outlineLevel="0" collapsed="false">
      <c r="B4" s="1444" t="s">
        <v>7042</v>
      </c>
      <c r="C4" s="1444"/>
      <c r="D4" s="1444"/>
      <c r="E4" s="1444"/>
      <c r="F4" s="1444"/>
      <c r="G4" s="1444"/>
      <c r="H4" s="0" t="s">
        <v>3856</v>
      </c>
    </row>
    <row r="5" customFormat="false" ht="21.75" hidden="false" customHeight="true" outlineLevel="0" collapsed="false">
      <c r="B5" s="97" t="s">
        <v>3857</v>
      </c>
      <c r="C5" s="98" t="s">
        <v>393</v>
      </c>
      <c r="D5" s="99" t="s">
        <v>1658</v>
      </c>
      <c r="E5" s="98" t="s">
        <v>3858</v>
      </c>
      <c r="F5" s="98" t="s">
        <v>102</v>
      </c>
      <c r="G5" s="98" t="s">
        <v>778</v>
      </c>
    </row>
    <row r="6" customFormat="false" ht="27.75" hidden="false" customHeight="true" outlineLevel="0" collapsed="false">
      <c r="B6" s="113" t="s">
        <v>7043</v>
      </c>
      <c r="C6" s="533" t="n">
        <f aca="false">'Museum · Drivers'!D7</f>
        <v>85</v>
      </c>
      <c r="D6" s="592" t="s">
        <v>7044</v>
      </c>
      <c r="E6" s="1261" t="s">
        <v>4821</v>
      </c>
      <c r="F6" s="1257" t="s">
        <v>1600</v>
      </c>
      <c r="G6" s="538" t="s">
        <v>7045</v>
      </c>
    </row>
    <row r="7" customFormat="false" ht="27.75" hidden="false" customHeight="true" outlineLevel="0" collapsed="false">
      <c r="B7" s="113" t="s">
        <v>7046</v>
      </c>
      <c r="C7" s="533" t="n">
        <f aca="false">'Museum · Drivers'!D8</f>
        <v>300</v>
      </c>
      <c r="D7" s="592" t="s">
        <v>5820</v>
      </c>
      <c r="E7" s="1260" t="s">
        <v>4807</v>
      </c>
      <c r="F7" s="1216" t="s">
        <v>2765</v>
      </c>
      <c r="G7" s="538" t="s">
        <v>7047</v>
      </c>
    </row>
    <row r="8" customFormat="false" ht="27.75" hidden="false" customHeight="true" outlineLevel="0" collapsed="false">
      <c r="B8" s="113" t="s">
        <v>7048</v>
      </c>
      <c r="C8" s="544" t="n">
        <f aca="false">'Museum · Drivers'!D10</f>
        <v>0.3</v>
      </c>
      <c r="D8" s="592" t="s">
        <v>3889</v>
      </c>
      <c r="E8" s="1256" t="s">
        <v>4796</v>
      </c>
      <c r="F8" s="1257" t="s">
        <v>1600</v>
      </c>
      <c r="G8" s="538" t="s">
        <v>7049</v>
      </c>
    </row>
    <row r="9" customFormat="false" ht="27.75" hidden="false" customHeight="true" outlineLevel="0" collapsed="false">
      <c r="B9" s="113" t="s">
        <v>7050</v>
      </c>
      <c r="C9" s="544" t="n">
        <f aca="false">'Museum · Drivers'!D11</f>
        <v>0.45</v>
      </c>
      <c r="D9" s="592" t="s">
        <v>7051</v>
      </c>
      <c r="E9" s="1261" t="s">
        <v>4821</v>
      </c>
      <c r="F9" s="1257" t="s">
        <v>1600</v>
      </c>
      <c r="G9" s="538" t="s">
        <v>7052</v>
      </c>
    </row>
    <row r="10" customFormat="false" ht="27.75" hidden="false" customHeight="true" outlineLevel="0" collapsed="false">
      <c r="B10" s="113" t="s">
        <v>7053</v>
      </c>
      <c r="C10" s="544" t="n">
        <f aca="false">'Museum · Drivers'!D12</f>
        <v>0.25</v>
      </c>
      <c r="D10" s="592" t="s">
        <v>7054</v>
      </c>
      <c r="E10" s="1256" t="s">
        <v>4796</v>
      </c>
      <c r="F10" s="1259" t="s">
        <v>4803</v>
      </c>
      <c r="G10" s="538" t="s">
        <v>7055</v>
      </c>
    </row>
    <row r="11" customFormat="false" ht="27.75" hidden="false" customHeight="true" outlineLevel="0" collapsed="false">
      <c r="B11" s="113" t="s">
        <v>7056</v>
      </c>
      <c r="C11" s="533" t="n">
        <f aca="false">'Museum · Drivers'!D14</f>
        <v>17</v>
      </c>
      <c r="D11" s="592" t="s">
        <v>7057</v>
      </c>
      <c r="E11" s="1261" t="s">
        <v>4821</v>
      </c>
      <c r="F11" s="1257" t="s">
        <v>1600</v>
      </c>
      <c r="G11" s="538" t="s">
        <v>7058</v>
      </c>
    </row>
    <row r="12" customFormat="false" ht="27.75" hidden="false" customHeight="true" outlineLevel="0" collapsed="false">
      <c r="B12" s="113" t="s">
        <v>7059</v>
      </c>
      <c r="C12" s="533" t="n">
        <f aca="false">'Museum · Drivers'!D22</f>
        <v>14</v>
      </c>
      <c r="D12" s="592" t="s">
        <v>7060</v>
      </c>
      <c r="E12" s="1256" t="s">
        <v>4796</v>
      </c>
      <c r="F12" s="1259" t="s">
        <v>4803</v>
      </c>
      <c r="G12" s="538" t="s">
        <v>7061</v>
      </c>
    </row>
    <row r="13" customFormat="false" ht="27.75" hidden="false" customHeight="true" outlineLevel="0" collapsed="false">
      <c r="B13" s="113" t="s">
        <v>7062</v>
      </c>
      <c r="C13" s="544" t="n">
        <f aca="false">'Museum · Costs'!C7</f>
        <v>30000</v>
      </c>
      <c r="D13" s="592" t="s">
        <v>3917</v>
      </c>
      <c r="E13" s="1256" t="s">
        <v>4796</v>
      </c>
      <c r="F13" s="1259" t="s">
        <v>4803</v>
      </c>
      <c r="G13" s="538" t="s">
        <v>7063</v>
      </c>
    </row>
    <row r="14" customFormat="false" ht="27.75" hidden="false" customHeight="true" outlineLevel="0" collapsed="false">
      <c r="B14" s="113" t="s">
        <v>7064</v>
      </c>
      <c r="C14" s="533" t="n">
        <f aca="false">'Museum · Costs'!C10</f>
        <v>10800</v>
      </c>
      <c r="D14" s="592" t="s">
        <v>7065</v>
      </c>
      <c r="E14" s="1256" t="s">
        <v>4796</v>
      </c>
      <c r="F14" s="1259" t="s">
        <v>4803</v>
      </c>
      <c r="G14" s="538" t="s">
        <v>7066</v>
      </c>
    </row>
    <row r="15" customFormat="false" ht="27.75" hidden="false" customHeight="true" outlineLevel="0" collapsed="false">
      <c r="B15" s="113" t="s">
        <v>3943</v>
      </c>
      <c r="C15" s="1288" t="n">
        <f aca="false">0.005</f>
        <v>0.005</v>
      </c>
      <c r="D15" s="592" t="s">
        <v>7067</v>
      </c>
      <c r="E15" s="1256" t="s">
        <v>4796</v>
      </c>
      <c r="F15" s="1216" t="s">
        <v>2765</v>
      </c>
      <c r="G15" s="538" t="s">
        <v>7068</v>
      </c>
    </row>
    <row r="16" customFormat="false" ht="27.75" hidden="false" customHeight="true" outlineLevel="0" collapsed="false">
      <c r="B16" s="113" t="s">
        <v>3946</v>
      </c>
      <c r="C16" s="533" t="n">
        <f aca="false">14</f>
        <v>14</v>
      </c>
      <c r="D16" s="592" t="s">
        <v>7069</v>
      </c>
      <c r="E16" s="1260" t="s">
        <v>4807</v>
      </c>
      <c r="F16" s="1216" t="s">
        <v>2765</v>
      </c>
      <c r="G16" s="538" t="s">
        <v>7070</v>
      </c>
    </row>
    <row r="17" customFormat="false" ht="27.75" hidden="false" customHeight="true" outlineLevel="0" collapsed="false">
      <c r="B17" s="113" t="s">
        <v>3949</v>
      </c>
      <c r="C17" s="533" t="n">
        <f aca="false">30</f>
        <v>30</v>
      </c>
      <c r="D17" s="592" t="s">
        <v>5849</v>
      </c>
      <c r="E17" s="1260" t="s">
        <v>4807</v>
      </c>
      <c r="F17" s="1216" t="s">
        <v>2765</v>
      </c>
      <c r="G17" s="538" t="s">
        <v>3950</v>
      </c>
    </row>
    <row r="18" customFormat="false" ht="27.75" hidden="false" customHeight="true" outlineLevel="0" collapsed="false">
      <c r="B18" s="113" t="s">
        <v>3951</v>
      </c>
      <c r="C18" s="1288" t="n">
        <f aca="false">0.05</f>
        <v>0.05</v>
      </c>
      <c r="D18" s="592" t="s">
        <v>7067</v>
      </c>
      <c r="E18" s="1256" t="s">
        <v>4796</v>
      </c>
      <c r="F18" s="1259" t="s">
        <v>4803</v>
      </c>
      <c r="G18" s="538" t="s">
        <v>7071</v>
      </c>
    </row>
    <row r="19" customFormat="false" ht="15" hidden="false" customHeight="true" outlineLevel="0" collapsed="false">
      <c r="B19" s="6"/>
      <c r="D19" s="6"/>
    </row>
    <row r="20" customFormat="false" ht="15" hidden="false" customHeight="true" outlineLevel="0" collapsed="false">
      <c r="B20" s="6"/>
      <c r="D20" s="6"/>
    </row>
    <row r="21" customFormat="false" ht="21.75" hidden="false" customHeight="true" outlineLevel="0" collapsed="false">
      <c r="B21" s="304" t="s">
        <v>7072</v>
      </c>
      <c r="C21" s="304"/>
      <c r="D21" s="304"/>
      <c r="E21" s="304"/>
      <c r="F21" s="304"/>
      <c r="G21" s="304"/>
    </row>
    <row r="22" customFormat="false" ht="108.75" hidden="false" customHeight="true" outlineLevel="0" collapsed="false">
      <c r="B22" s="1445" t="s">
        <v>7073</v>
      </c>
      <c r="C22" s="1445"/>
      <c r="D22" s="1445"/>
      <c r="E22" s="1445"/>
      <c r="F22" s="1445"/>
      <c r="G22" s="1445"/>
    </row>
    <row r="23" customFormat="false" ht="15" hidden="false" customHeight="true" outlineLevel="0" collapsed="false">
      <c r="B23" s="1445"/>
      <c r="C23" s="1445"/>
      <c r="D23" s="1445"/>
      <c r="E23" s="1445"/>
      <c r="F23" s="1445"/>
      <c r="G23" s="1445"/>
    </row>
    <row r="24" customFormat="false" ht="15" hidden="false" customHeight="true" outlineLevel="0" collapsed="false">
      <c r="B24" s="1445"/>
      <c r="C24" s="1445"/>
      <c r="D24" s="1445"/>
      <c r="E24" s="1445"/>
      <c r="F24" s="1445"/>
      <c r="G24" s="1445"/>
    </row>
    <row r="25" customFormat="false" ht="15" hidden="false" customHeight="true" outlineLevel="0" collapsed="false">
      <c r="B25" s="1445"/>
      <c r="C25" s="1445"/>
      <c r="D25" s="1445"/>
      <c r="E25" s="1445"/>
      <c r="F25" s="1445"/>
      <c r="G25" s="1445"/>
    </row>
  </sheetData>
  <mergeCells count="6">
    <mergeCell ref="B2:E2"/>
    <mergeCell ref="F2:G2"/>
    <mergeCell ref="B3:G3"/>
    <mergeCell ref="B4:G4"/>
    <mergeCell ref="B21:G21"/>
    <mergeCell ref="B22:G25"/>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6578</v>
      </c>
      <c r="C2" s="917"/>
      <c r="D2" s="917"/>
      <c r="E2" s="917"/>
      <c r="F2" s="917"/>
      <c r="G2" s="89" t="s">
        <v>3432</v>
      </c>
      <c r="H2" s="89"/>
      <c r="I2" s="89"/>
      <c r="J2" s="89"/>
    </row>
    <row r="3" customFormat="false" ht="48.75" hidden="false" customHeight="true" outlineLevel="0" collapsed="false">
      <c r="B3" s="90" t="s">
        <v>7074</v>
      </c>
      <c r="C3" s="90"/>
      <c r="D3" s="90"/>
      <c r="E3" s="90"/>
      <c r="F3" s="90"/>
      <c r="G3" s="90"/>
      <c r="H3" s="90"/>
      <c r="I3" s="90"/>
      <c r="J3" s="90"/>
    </row>
    <row r="4" customFormat="false" ht="15" hidden="false" customHeight="true" outlineLevel="0" collapsed="false">
      <c r="B4" s="6"/>
      <c r="I4" s="6"/>
    </row>
    <row r="5" customFormat="false" ht="21.75" hidden="false" customHeight="true" outlineLevel="0" collapsed="false">
      <c r="B5" s="96" t="s">
        <v>7075</v>
      </c>
      <c r="C5" s="96"/>
      <c r="D5" s="96"/>
      <c r="E5" s="96"/>
      <c r="F5" s="96"/>
      <c r="G5" s="96"/>
      <c r="H5" s="96"/>
      <c r="I5" s="6"/>
    </row>
    <row r="6" customFormat="false" ht="19.5" hidden="false" customHeight="true" outlineLevel="0" collapsed="false">
      <c r="B6" s="97" t="s">
        <v>7076</v>
      </c>
      <c r="C6" s="98" t="s">
        <v>7077</v>
      </c>
      <c r="D6" s="98" t="s">
        <v>7078</v>
      </c>
      <c r="E6" s="98" t="s">
        <v>4770</v>
      </c>
      <c r="G6" s="551" t="s">
        <v>3508</v>
      </c>
      <c r="I6" s="6"/>
    </row>
    <row r="7" customFormat="false" ht="16.5" hidden="false" customHeight="true" outlineLevel="0" collapsed="false">
      <c r="B7" s="113" t="s">
        <v>7079</v>
      </c>
      <c r="C7" s="1366" t="n">
        <f aca="false">'Museum · Drivers'!C50</f>
        <v>7650</v>
      </c>
      <c r="D7" s="1263" t="n">
        <f aca="false">'Museum · Drivers'!C33</f>
        <v>17</v>
      </c>
      <c r="E7" s="544" t="n">
        <f aca="false">'Museum · Drivers'!C50*'Museum · Drivers'!C33</f>
        <v>130050</v>
      </c>
      <c r="G7" s="565" t="s">
        <v>7080</v>
      </c>
      <c r="I7" s="6"/>
    </row>
    <row r="8" customFormat="false" ht="16.5" hidden="false" customHeight="true" outlineLevel="0" collapsed="false">
      <c r="B8" s="113" t="s">
        <v>7081</v>
      </c>
      <c r="C8" s="1366" t="n">
        <f aca="false">'Museum · Drivers'!C51</f>
        <v>11475</v>
      </c>
      <c r="D8" s="1263" t="n">
        <f aca="false">'Museum · Drivers'!C34</f>
        <v>11.5</v>
      </c>
      <c r="E8" s="544" t="n">
        <f aca="false">'Museum · Drivers'!C51*'Museum · Drivers'!C34</f>
        <v>131962.5</v>
      </c>
      <c r="G8" s="565" t="s">
        <v>7082</v>
      </c>
      <c r="I8" s="6"/>
    </row>
    <row r="9" customFormat="false" ht="16.5" hidden="false" customHeight="true" outlineLevel="0" collapsed="false">
      <c r="B9" s="113" t="s">
        <v>7083</v>
      </c>
      <c r="C9" s="1366" t="n">
        <f aca="false">'Museum · Drivers'!C52</f>
        <v>6375</v>
      </c>
      <c r="D9" s="1263" t="n">
        <f aca="false">'Museum · Drivers'!C35</f>
        <v>7</v>
      </c>
      <c r="E9" s="544" t="n">
        <f aca="false">'Museum · Drivers'!C52*'Museum · Drivers'!C35</f>
        <v>44625</v>
      </c>
      <c r="G9" s="565" t="s">
        <v>7084</v>
      </c>
      <c r="I9" s="6"/>
    </row>
    <row r="10" customFormat="false" ht="16.5" hidden="false" customHeight="true" outlineLevel="0" collapsed="false">
      <c r="B10" s="126" t="s">
        <v>7085</v>
      </c>
      <c r="C10" s="1366" t="n">
        <f aca="false">'Museum · Drivers'!C54</f>
        <v>6427.2</v>
      </c>
      <c r="D10" s="1432" t="n">
        <f aca="false">'Museum · Drivers'!C41</f>
        <v>6</v>
      </c>
      <c r="E10" s="544" t="n">
        <f aca="false">'Museum · Drivers'!C54*'Museum · Drivers'!C41</f>
        <v>38563.2</v>
      </c>
      <c r="G10" s="565" t="s">
        <v>7086</v>
      </c>
      <c r="I10" s="6"/>
    </row>
    <row r="11" customFormat="false" ht="21.75" hidden="false" customHeight="true" outlineLevel="0" collapsed="false">
      <c r="B11" s="81" t="s">
        <v>7087</v>
      </c>
      <c r="E11" s="1446" t="n">
        <f aca="false">SUM(E7:E10)</f>
        <v>345200.7</v>
      </c>
      <c r="I11" s="6"/>
    </row>
    <row r="12" customFormat="false" ht="15" hidden="false" customHeight="true" outlineLevel="0" collapsed="false">
      <c r="B12" s="6"/>
      <c r="I12" s="6"/>
    </row>
    <row r="13" customFormat="false" ht="33.75" hidden="false" customHeight="true" outlineLevel="0" collapsed="false">
      <c r="B13" s="96" t="s">
        <v>7088</v>
      </c>
      <c r="C13" s="96"/>
      <c r="D13" s="96"/>
      <c r="E13" s="96"/>
      <c r="F13" s="96"/>
      <c r="G13" s="96"/>
      <c r="H13" s="96"/>
      <c r="I13" s="6"/>
    </row>
    <row r="14" customFormat="false" ht="19.5" hidden="false" customHeight="true" outlineLevel="0" collapsed="false">
      <c r="B14" s="97" t="s">
        <v>7076</v>
      </c>
      <c r="C14" s="98" t="s">
        <v>7089</v>
      </c>
      <c r="D14" s="98" t="s">
        <v>7090</v>
      </c>
      <c r="E14" s="98" t="s">
        <v>4770</v>
      </c>
      <c r="G14" s="551" t="s">
        <v>3508</v>
      </c>
      <c r="I14" s="6"/>
    </row>
    <row r="15" customFormat="false" ht="16.5" hidden="false" customHeight="true" outlineLevel="0" collapsed="false">
      <c r="B15" s="126" t="s">
        <v>7091</v>
      </c>
      <c r="C15" s="1366" t="n">
        <f aca="false">'Museum · Drivers'!C55*'Museum · Drivers'!C36</f>
        <v>7981.8</v>
      </c>
      <c r="D15" s="1263" t="n">
        <f aca="false">'Museum · Drivers'!C37</f>
        <v>4</v>
      </c>
      <c r="E15" s="544" t="n">
        <f aca="false">'Museum · Drivers'!C55*'Museum · Drivers'!C36*'Museum · Drivers'!C37</f>
        <v>31927.2</v>
      </c>
      <c r="G15" s="565" t="s">
        <v>7092</v>
      </c>
      <c r="I15" s="6"/>
    </row>
    <row r="16" customFormat="false" ht="21.75" hidden="false" customHeight="true" outlineLevel="0" collapsed="false">
      <c r="B16" s="81" t="s">
        <v>7093</v>
      </c>
      <c r="E16" s="1446" t="n">
        <f aca="false">E15</f>
        <v>31927.2</v>
      </c>
      <c r="I16" s="6"/>
    </row>
    <row r="17" customFormat="false" ht="15" hidden="false" customHeight="true" outlineLevel="0" collapsed="false">
      <c r="B17" s="6"/>
      <c r="I17" s="6"/>
    </row>
    <row r="18" customFormat="false" ht="33.75" hidden="false" customHeight="true" outlineLevel="0" collapsed="false">
      <c r="B18" s="96" t="s">
        <v>7094</v>
      </c>
      <c r="C18" s="96"/>
      <c r="D18" s="96"/>
      <c r="E18" s="96"/>
      <c r="F18" s="96"/>
      <c r="G18" s="96"/>
      <c r="H18" s="96"/>
      <c r="I18" s="6"/>
    </row>
    <row r="19" customFormat="false" ht="19.5" hidden="false" customHeight="true" outlineLevel="0" collapsed="false">
      <c r="B19" s="97" t="s">
        <v>7076</v>
      </c>
      <c r="C19" s="98" t="s">
        <v>7089</v>
      </c>
      <c r="D19" s="98" t="s">
        <v>7095</v>
      </c>
      <c r="E19" s="98" t="s">
        <v>4770</v>
      </c>
      <c r="G19" s="551" t="s">
        <v>3508</v>
      </c>
      <c r="I19" s="6"/>
    </row>
    <row r="20" customFormat="false" ht="16.5" hidden="false" customHeight="true" outlineLevel="0" collapsed="false">
      <c r="B20" s="126" t="s">
        <v>7096</v>
      </c>
      <c r="C20" s="1366" t="n">
        <f aca="false">'Museum · Drivers'!C55*'Museum · Drivers'!C38</f>
        <v>7981.8</v>
      </c>
      <c r="D20" s="1263" t="n">
        <f aca="false">'Museum · Drivers'!C39</f>
        <v>14</v>
      </c>
      <c r="E20" s="544" t="n">
        <f aca="false">'Museum · Drivers'!C55*'Museum · Drivers'!C38*'Museum · Drivers'!C39</f>
        <v>111745.2</v>
      </c>
      <c r="G20" s="565" t="s">
        <v>7097</v>
      </c>
      <c r="I20" s="6"/>
    </row>
    <row r="21" customFormat="false" ht="21.75" hidden="false" customHeight="true" outlineLevel="0" collapsed="false">
      <c r="B21" s="81" t="s">
        <v>7098</v>
      </c>
      <c r="E21" s="1446" t="n">
        <f aca="false">E20</f>
        <v>111745.2</v>
      </c>
      <c r="I21" s="6"/>
    </row>
    <row r="22" customFormat="false" ht="15" hidden="false" customHeight="true" outlineLevel="0" collapsed="false">
      <c r="B22" s="6"/>
      <c r="I22" s="6"/>
    </row>
    <row r="23" customFormat="false" ht="21.75" hidden="false" customHeight="true" outlineLevel="0" collapsed="false">
      <c r="B23" s="51" t="s">
        <v>7099</v>
      </c>
      <c r="C23" s="51"/>
      <c r="D23" s="51"/>
      <c r="E23" s="51"/>
      <c r="F23" s="51"/>
      <c r="G23" s="51"/>
      <c r="H23" s="51"/>
      <c r="I23" s="6"/>
    </row>
    <row r="24" customFormat="false" ht="27.75" hidden="false" customHeight="true" outlineLevel="0" collapsed="false">
      <c r="B24" s="1266" t="s">
        <v>7100</v>
      </c>
      <c r="E24" s="578" t="n">
        <f aca="false">E11+E16+E21</f>
        <v>488873.1</v>
      </c>
      <c r="I24" s="6"/>
    </row>
    <row r="25" customFormat="false" ht="15" hidden="false" customHeight="true" outlineLevel="0" collapsed="false">
      <c r="B25" s="6"/>
      <c r="I25" s="6"/>
    </row>
    <row r="26" customFormat="false" ht="15" hidden="false" customHeight="true" outlineLevel="0" collapsed="false">
      <c r="B26" s="6"/>
      <c r="I26" s="6"/>
    </row>
    <row r="27" customFormat="false" ht="21.75" hidden="false" customHeight="true" outlineLevel="0" collapsed="false">
      <c r="B27" s="575" t="s">
        <v>3443</v>
      </c>
      <c r="C27" s="575"/>
      <c r="D27" s="575"/>
      <c r="E27" s="575"/>
      <c r="F27" s="575"/>
      <c r="G27" s="575"/>
      <c r="H27" s="575"/>
      <c r="I27" s="6"/>
    </row>
    <row r="28" customFormat="false" ht="15" hidden="false" customHeight="true" outlineLevel="0" collapsed="false">
      <c r="B28" s="97" t="s">
        <v>3445</v>
      </c>
      <c r="C28" s="98" t="s">
        <v>2771</v>
      </c>
      <c r="D28" s="98" t="s">
        <v>1052</v>
      </c>
      <c r="I28" s="6"/>
    </row>
    <row r="29" customFormat="false" ht="15" hidden="false" customHeight="true" outlineLevel="0" collapsed="false">
      <c r="B29" s="113" t="s">
        <v>7101</v>
      </c>
      <c r="C29" s="571" t="n">
        <f aca="false">E11</f>
        <v>345200.7</v>
      </c>
      <c r="D29" s="594" t="n">
        <f aca="false">E11/$E$24</f>
        <v>0.706115145218667</v>
      </c>
      <c r="I29" s="6"/>
    </row>
    <row r="30" customFormat="false" ht="15" hidden="false" customHeight="true" outlineLevel="0" collapsed="false">
      <c r="B30" s="113" t="s">
        <v>7102</v>
      </c>
      <c r="C30" s="571" t="n">
        <f aca="false">E16</f>
        <v>31927.2</v>
      </c>
      <c r="D30" s="594" t="n">
        <f aca="false">E16/$E$24</f>
        <v>0.0653077455069629</v>
      </c>
      <c r="I30" s="6"/>
    </row>
    <row r="31" customFormat="false" ht="15" hidden="false" customHeight="true" outlineLevel="0" collapsed="false">
      <c r="B31" s="113" t="s">
        <v>7103</v>
      </c>
      <c r="C31" s="571" t="n">
        <f aca="false">E21</f>
        <v>111745.2</v>
      </c>
      <c r="D31" s="594" t="n">
        <f aca="false">E21/$E$24</f>
        <v>0.22857710927437</v>
      </c>
      <c r="I31" s="6"/>
    </row>
    <row r="32" customFormat="false" ht="15" hidden="false" customHeight="true" outlineLevel="0" collapsed="false">
      <c r="B32" s="6"/>
      <c r="I32" s="6"/>
    </row>
    <row r="33" customFormat="false" ht="33.75" hidden="false" customHeight="true" outlineLevel="0" collapsed="false">
      <c r="B33" s="555" t="s">
        <v>7104</v>
      </c>
      <c r="C33" s="555"/>
      <c r="D33" s="555"/>
      <c r="E33" s="555"/>
      <c r="F33" s="555"/>
      <c r="G33" s="555"/>
      <c r="H33" s="555"/>
      <c r="I33" s="6"/>
    </row>
    <row r="34" customFormat="false" ht="15" hidden="false" customHeight="true" outlineLevel="0" collapsed="false">
      <c r="B34" s="1433" t="s">
        <v>7006</v>
      </c>
      <c r="E34" s="1268" t="n">
        <f aca="false">'Museum · Drivers'!C61</f>
        <v>76625.28</v>
      </c>
      <c r="G34" s="0" t="s">
        <v>7105</v>
      </c>
      <c r="I34" s="6"/>
    </row>
    <row r="35" customFormat="false" ht="15" hidden="false" customHeight="true" outlineLevel="0" collapsed="false">
      <c r="B35" s="1433" t="s">
        <v>7010</v>
      </c>
      <c r="E35" s="1447" t="n">
        <f aca="false">'Museum · Drivers'!C63</f>
        <v>638.544</v>
      </c>
      <c r="G35" s="0" t="s">
        <v>7106</v>
      </c>
      <c r="I35" s="6"/>
    </row>
  </sheetData>
  <mergeCells count="9">
    <mergeCell ref="B2:F2"/>
    <mergeCell ref="G2:J2"/>
    <mergeCell ref="B3:J3"/>
    <mergeCell ref="B5:H5"/>
    <mergeCell ref="B13:H13"/>
    <mergeCell ref="B18:H18"/>
    <mergeCell ref="B23:H23"/>
    <mergeCell ref="B27:H27"/>
    <mergeCell ref="B33:H3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4926</v>
      </c>
      <c r="C2" s="878"/>
      <c r="D2" s="878"/>
      <c r="E2" s="878"/>
      <c r="F2" s="878"/>
      <c r="G2" s="1023" t="s">
        <v>3432</v>
      </c>
      <c r="H2" s="1023"/>
      <c r="I2" s="1023"/>
      <c r="J2" s="1023"/>
    </row>
    <row r="3" customFormat="false" ht="33.75" hidden="false" customHeight="true" outlineLevel="0" collapsed="false">
      <c r="B3" s="90" t="s">
        <v>7107</v>
      </c>
      <c r="C3" s="90"/>
      <c r="D3" s="90"/>
      <c r="E3" s="90"/>
      <c r="F3" s="90"/>
      <c r="G3" s="90"/>
      <c r="H3" s="90"/>
      <c r="I3" s="90"/>
      <c r="J3" s="90"/>
    </row>
    <row r="4" customFormat="false" ht="15" hidden="false" customHeight="true" outlineLevel="0" collapsed="false">
      <c r="B4" s="6"/>
      <c r="G4" s="6"/>
    </row>
    <row r="5" customFormat="false" ht="21.75" hidden="false" customHeight="true" outlineLevel="0" collapsed="false">
      <c r="B5" s="96" t="s">
        <v>4928</v>
      </c>
      <c r="C5" s="96"/>
      <c r="D5" s="96"/>
      <c r="E5" s="96"/>
      <c r="F5" s="96"/>
      <c r="G5" s="96"/>
      <c r="H5" s="96"/>
    </row>
    <row r="6" customFormat="false" ht="19.5" hidden="false" customHeight="true" outlineLevel="0" collapsed="false">
      <c r="B6" s="99" t="s">
        <v>4929</v>
      </c>
      <c r="C6" s="98" t="s">
        <v>2771</v>
      </c>
      <c r="D6" s="98" t="s">
        <v>4930</v>
      </c>
      <c r="E6" s="98" t="s">
        <v>7108</v>
      </c>
      <c r="F6" s="98" t="s">
        <v>4016</v>
      </c>
      <c r="G6" s="99" t="s">
        <v>4932</v>
      </c>
      <c r="H6" s="98" t="s">
        <v>778</v>
      </c>
    </row>
    <row r="7" customFormat="false" ht="16.5" hidden="false" customHeight="true" outlineLevel="0" collapsed="false">
      <c r="B7" s="126" t="s">
        <v>7109</v>
      </c>
      <c r="C7" s="1277" t="n">
        <f aca="false">'Museum · Drivers'!C68</f>
        <v>30000</v>
      </c>
      <c r="D7" s="593" t="n">
        <f aca="false">C7/'Museum · Revenue'!E24</f>
        <v>0.0613656181941694</v>
      </c>
      <c r="E7" s="1271" t="n">
        <f aca="false">C7/IF('Museum · Drivers'!C55=0,1,'Museum · Drivers'!C55)</f>
        <v>0.939637675712245</v>
      </c>
      <c r="F7" s="455" t="s">
        <v>3663</v>
      </c>
      <c r="G7" s="1279" t="n">
        <v>0</v>
      </c>
      <c r="H7" s="565" t="s">
        <v>7013</v>
      </c>
    </row>
    <row r="8" customFormat="false" ht="16.5" hidden="false" customHeight="true" outlineLevel="0" collapsed="false">
      <c r="B8" s="126" t="s">
        <v>7110</v>
      </c>
      <c r="C8" s="1277" t="n">
        <f aca="false">'Museum · Drivers'!C69</f>
        <v>24000</v>
      </c>
      <c r="D8" s="593" t="n">
        <f aca="false">C8/'Museum · Revenue'!E24</f>
        <v>0.0490924945553355</v>
      </c>
      <c r="E8" s="1271" t="n">
        <f aca="false">C8/IF('Museum · Drivers'!C55=0,1,'Museum · Drivers'!C55)</f>
        <v>0.751710140569796</v>
      </c>
      <c r="F8" s="455" t="s">
        <v>3663</v>
      </c>
      <c r="G8" s="1279" t="n">
        <v>0</v>
      </c>
      <c r="H8" s="565" t="s">
        <v>7111</v>
      </c>
    </row>
    <row r="9" customFormat="false" ht="16.5" hidden="false" customHeight="true" outlineLevel="0" collapsed="false">
      <c r="B9" s="126" t="s">
        <v>7112</v>
      </c>
      <c r="C9" s="1277" t="n">
        <f aca="false">'Museum · Drivers'!C70</f>
        <v>25000</v>
      </c>
      <c r="D9" s="593" t="n">
        <f aca="false">C9/'Museum · Revenue'!E24</f>
        <v>0.0511380151618078</v>
      </c>
      <c r="E9" s="1271" t="n">
        <f aca="false">C9/IF('Museum · Drivers'!C55=0,1,'Museum · Drivers'!C55)</f>
        <v>0.783031396426871</v>
      </c>
      <c r="F9" s="455" t="s">
        <v>3663</v>
      </c>
      <c r="G9" s="1279" t="n">
        <v>0</v>
      </c>
      <c r="H9" s="565" t="s">
        <v>7113</v>
      </c>
    </row>
    <row r="10" customFormat="false" ht="16.5" hidden="false" customHeight="true" outlineLevel="0" collapsed="false">
      <c r="B10" s="126" t="s">
        <v>7114</v>
      </c>
      <c r="C10" s="1277" t="n">
        <f aca="false">'Museum · Drivers'!C71</f>
        <v>10800</v>
      </c>
      <c r="D10" s="593" t="n">
        <f aca="false">C10/'Museum · Revenue'!E24</f>
        <v>0.022091622549901</v>
      </c>
      <c r="E10" s="1271" t="n">
        <f aca="false">C10/IF('Museum · Drivers'!C55=0,1,'Museum · Drivers'!C55)</f>
        <v>0.338269563256408</v>
      </c>
      <c r="F10" s="455" t="s">
        <v>3663</v>
      </c>
      <c r="G10" s="1279" t="n">
        <v>0</v>
      </c>
      <c r="H10" s="565" t="s">
        <v>7115</v>
      </c>
    </row>
    <row r="11" customFormat="false" ht="16.5" hidden="false" customHeight="true" outlineLevel="0" collapsed="false">
      <c r="B11" s="113" t="s">
        <v>7116</v>
      </c>
      <c r="C11" s="1277" t="n">
        <f aca="false">'Museum · Drivers'!C72</f>
        <v>5400</v>
      </c>
      <c r="D11" s="593" t="n">
        <f aca="false">C11/'Museum · Revenue'!E24</f>
        <v>0.0110458112749505</v>
      </c>
      <c r="E11" s="1271" t="n">
        <f aca="false">C11/IF('Museum · Drivers'!C55=0,1,'Museum · Drivers'!C55)</f>
        <v>0.169134781628204</v>
      </c>
      <c r="F11" s="455" t="s">
        <v>3663</v>
      </c>
      <c r="G11" s="1279" t="n">
        <v>0</v>
      </c>
      <c r="H11" s="565" t="s">
        <v>7117</v>
      </c>
    </row>
    <row r="12" customFormat="false" ht="16.5" hidden="false" customHeight="true" outlineLevel="0" collapsed="false">
      <c r="B12" s="113" t="s">
        <v>7118</v>
      </c>
      <c r="C12" s="1277" t="n">
        <f aca="false">'Museum · Drivers'!C74</f>
        <v>36000</v>
      </c>
      <c r="D12" s="593" t="n">
        <f aca="false">C12/'Museum · Revenue'!E24</f>
        <v>0.0736387418330033</v>
      </c>
      <c r="E12" s="1271" t="n">
        <f aca="false">C12/IF('Museum · Drivers'!C55=0,1,'Museum · Drivers'!C55)</f>
        <v>1.12756521085469</v>
      </c>
      <c r="F12" s="455" t="s">
        <v>3663</v>
      </c>
      <c r="G12" s="1279" t="n">
        <v>0</v>
      </c>
      <c r="H12" s="565" t="s">
        <v>7119</v>
      </c>
    </row>
    <row r="13" customFormat="false" ht="16.5" hidden="false" customHeight="true" outlineLevel="0" collapsed="false">
      <c r="B13" s="113" t="s">
        <v>7120</v>
      </c>
      <c r="C13" s="1277" t="n">
        <f aca="false">'Museum · Drivers'!C75</f>
        <v>40000</v>
      </c>
      <c r="D13" s="593" t="n">
        <f aca="false">C13/'Museum · Revenue'!E24</f>
        <v>0.0818208242588925</v>
      </c>
      <c r="E13" s="1271" t="n">
        <f aca="false">C13/IF('Museum · Drivers'!C55=0,1,'Museum · Drivers'!C55)</f>
        <v>1.25285023428299</v>
      </c>
      <c r="F13" s="455" t="s">
        <v>3663</v>
      </c>
      <c r="G13" s="1279" t="n">
        <v>0</v>
      </c>
      <c r="H13" s="565" t="s">
        <v>7121</v>
      </c>
    </row>
    <row r="14" customFormat="false" ht="16.5" hidden="false" customHeight="true" outlineLevel="0" collapsed="false">
      <c r="B14" s="113" t="s">
        <v>4944</v>
      </c>
      <c r="C14" s="1277" t="n">
        <v>0</v>
      </c>
      <c r="D14" s="593" t="n">
        <f aca="false">C14/'Museum · Revenue'!E24</f>
        <v>0</v>
      </c>
      <c r="E14" s="1271" t="n">
        <f aca="false">C14/IF('Museum · Drivers'!C55=0,1,'Museum · Drivers'!C55)</f>
        <v>0</v>
      </c>
      <c r="F14" s="455" t="s">
        <v>3663</v>
      </c>
      <c r="G14" s="1279" t="n">
        <v>0</v>
      </c>
      <c r="H14" s="565" t="s">
        <v>7122</v>
      </c>
    </row>
    <row r="15" customFormat="false" ht="16.5" hidden="false" customHeight="true" outlineLevel="0" collapsed="false">
      <c r="B15" s="113" t="s">
        <v>7123</v>
      </c>
      <c r="C15" s="1277" t="n">
        <v>0</v>
      </c>
      <c r="D15" s="593" t="n">
        <f aca="false">C15/'Museum · Revenue'!E24</f>
        <v>0</v>
      </c>
      <c r="E15" s="1271" t="n">
        <f aca="false">C15/IF('Museum · Drivers'!C55=0,1,'Museum · Drivers'!C55)</f>
        <v>0</v>
      </c>
      <c r="F15" s="455" t="s">
        <v>3663</v>
      </c>
      <c r="G15" s="1279" t="n">
        <v>0</v>
      </c>
      <c r="H15" s="565" t="s">
        <v>7124</v>
      </c>
    </row>
    <row r="16" customFormat="false" ht="16.5" hidden="false" customHeight="true" outlineLevel="0" collapsed="false">
      <c r="B16" s="113" t="s">
        <v>4851</v>
      </c>
      <c r="C16" s="1277" t="n">
        <f aca="false">'Museum · Drivers'!C78</f>
        <v>6000</v>
      </c>
      <c r="D16" s="593" t="n">
        <f aca="false">C16/'Museum · Revenue'!E24</f>
        <v>0.0122731236388339</v>
      </c>
      <c r="E16" s="1271" t="n">
        <f aca="false">C16/IF('Museum · Drivers'!C55=0,1,'Museum · Drivers'!C55)</f>
        <v>0.187927535142449</v>
      </c>
      <c r="F16" s="455" t="s">
        <v>3663</v>
      </c>
      <c r="G16" s="1279" t="n">
        <v>0</v>
      </c>
      <c r="H16" s="565" t="s">
        <v>7125</v>
      </c>
    </row>
    <row r="17" customFormat="false" ht="16.5" hidden="false" customHeight="true" outlineLevel="0" collapsed="false">
      <c r="B17" s="113" t="s">
        <v>7126</v>
      </c>
      <c r="C17" s="1277" t="n">
        <v>0</v>
      </c>
      <c r="D17" s="593" t="n">
        <f aca="false">C17/'Museum · Revenue'!E24</f>
        <v>0</v>
      </c>
      <c r="E17" s="1271" t="n">
        <f aca="false">C17/IF('Museum · Drivers'!C55=0,1,'Museum · Drivers'!C55)</f>
        <v>0</v>
      </c>
      <c r="F17" s="455" t="s">
        <v>3663</v>
      </c>
      <c r="G17" s="1279" t="n">
        <v>0</v>
      </c>
      <c r="H17" s="565" t="s">
        <v>7127</v>
      </c>
    </row>
    <row r="18" customFormat="false" ht="16.5" hidden="false" customHeight="true" outlineLevel="0" collapsed="false">
      <c r="B18" s="113" t="s">
        <v>2234</v>
      </c>
      <c r="C18" s="1277" t="n">
        <f aca="false">'Museum · Drivers'!C80</f>
        <v>0</v>
      </c>
      <c r="D18" s="593" t="n">
        <f aca="false">C18/'Museum · Revenue'!E24</f>
        <v>0</v>
      </c>
      <c r="E18" s="1271" t="n">
        <f aca="false">C18/IF('Museum · Drivers'!C55=0,1,'Museum · Drivers'!C55)</f>
        <v>0</v>
      </c>
      <c r="F18" s="455" t="s">
        <v>3663</v>
      </c>
      <c r="G18" s="1279" t="n">
        <v>0</v>
      </c>
      <c r="H18" s="565" t="s">
        <v>7128</v>
      </c>
    </row>
    <row r="19" customFormat="false" ht="15" hidden="false" customHeight="true" outlineLevel="0" collapsed="false">
      <c r="B19" s="6"/>
      <c r="G19" s="6"/>
    </row>
    <row r="20" customFormat="false" ht="16.5" hidden="false" customHeight="true" outlineLevel="0" collapsed="false">
      <c r="B20" s="113" t="s">
        <v>7129</v>
      </c>
      <c r="C20" s="1277" t="n">
        <f aca="false">'Museum · Revenue'!E21*'Museum · Drivers'!C83</f>
        <v>55872.6</v>
      </c>
      <c r="D20" s="593" t="n">
        <f aca="false">C20/'Museum · Revenue'!E24</f>
        <v>0.114288554637185</v>
      </c>
      <c r="E20" s="1271" t="n">
        <f aca="false">C20/IF('Museum · Drivers'!C55=0,1,'Museum · Drivers'!C55)</f>
        <v>1.75</v>
      </c>
      <c r="F20" s="821" t="s">
        <v>4027</v>
      </c>
      <c r="G20" s="1279" t="n">
        <v>1</v>
      </c>
      <c r="H20" s="565" t="s">
        <v>7130</v>
      </c>
    </row>
    <row r="21" customFormat="false" ht="16.5" hidden="false" customHeight="true" outlineLevel="0" collapsed="false">
      <c r="B21" s="113" t="s">
        <v>6617</v>
      </c>
      <c r="C21" s="1277" t="n">
        <v>0</v>
      </c>
      <c r="D21" s="593" t="n">
        <f aca="false">C21/'Museum · Revenue'!E24</f>
        <v>0</v>
      </c>
      <c r="E21" s="1271" t="n">
        <f aca="false">C21/IF('Museum · Drivers'!C55=0,1,'Museum · Drivers'!C55)</f>
        <v>0</v>
      </c>
      <c r="F21" s="821" t="s">
        <v>4027</v>
      </c>
      <c r="G21" s="1279" t="n">
        <v>1</v>
      </c>
      <c r="H21" s="565" t="s">
        <v>7131</v>
      </c>
    </row>
    <row r="22" customFormat="false" ht="16.5" hidden="false" customHeight="true" outlineLevel="0" collapsed="false">
      <c r="B22" s="126" t="s">
        <v>7132</v>
      </c>
      <c r="C22" s="1277" t="n">
        <f aca="false">'Museum · Drivers'!C85*'Museum · Drivers'!C55</f>
        <v>15963.6</v>
      </c>
      <c r="D22" s="593" t="n">
        <f aca="false">C22/'Museum · Revenue'!E24</f>
        <v>0.0326538727534814</v>
      </c>
      <c r="E22" s="1271" t="n">
        <f aca="false">C22/IF('Museum · Drivers'!C55=0,1,'Museum · Drivers'!C55)</f>
        <v>0.5</v>
      </c>
      <c r="F22" s="821" t="s">
        <v>4027</v>
      </c>
      <c r="G22" s="1279" t="n">
        <v>1</v>
      </c>
      <c r="H22" s="565" t="s">
        <v>7133</v>
      </c>
    </row>
    <row r="23" customFormat="false" ht="15" hidden="false" customHeight="true" outlineLevel="0" collapsed="false">
      <c r="B23" s="6"/>
      <c r="G23" s="6"/>
    </row>
    <row r="24" customFormat="false" ht="24" hidden="false" customHeight="true" outlineLevel="0" collapsed="false">
      <c r="B24" s="117" t="s">
        <v>4953</v>
      </c>
      <c r="C24" s="1436" t="n">
        <f aca="false">SUM(C7:C22)</f>
        <v>249036.2</v>
      </c>
      <c r="D24" s="1166" t="n">
        <f aca="false">C24/'Museum · Revenue'!E24</f>
        <v>0.50940867885756</v>
      </c>
      <c r="G24" s="6"/>
    </row>
    <row r="25" customFormat="false" ht="15" hidden="false" customHeight="true" outlineLevel="0" collapsed="false">
      <c r="B25" s="6"/>
      <c r="G25" s="6"/>
    </row>
    <row r="26" customFormat="false" ht="21.75" hidden="false" customHeight="true" outlineLevel="0" collapsed="false">
      <c r="B26" s="575" t="s">
        <v>7134</v>
      </c>
      <c r="C26" s="575"/>
      <c r="D26" s="575"/>
      <c r="E26" s="575"/>
      <c r="F26" s="575"/>
      <c r="G26" s="575"/>
      <c r="H26" s="575"/>
    </row>
    <row r="27" customFormat="false" ht="15" hidden="false" customHeight="true" outlineLevel="0" collapsed="false">
      <c r="B27" s="81" t="s">
        <v>4957</v>
      </c>
      <c r="C27" s="406" t="n">
        <f aca="false">SUMPRODUCT(C7:C22,1-G7:G22)</f>
        <v>177200</v>
      </c>
      <c r="D27" s="1370" t="n">
        <f aca="false">C27/C24</f>
        <v>0.711543141117637</v>
      </c>
      <c r="G27" s="6"/>
    </row>
    <row r="28" customFormat="false" ht="15" hidden="false" customHeight="true" outlineLevel="0" collapsed="false">
      <c r="B28" s="663" t="s">
        <v>4958</v>
      </c>
      <c r="C28" s="1371" t="n">
        <f aca="false">SUMPRODUCT(C7:C22,G7:G22)</f>
        <v>71836.2</v>
      </c>
      <c r="D28" s="1370" t="n">
        <f aca="false">C28/C24</f>
        <v>0.288456858882363</v>
      </c>
      <c r="G28" s="6"/>
    </row>
    <row r="29" customFormat="false" ht="15" hidden="false" customHeight="true" outlineLevel="0" collapsed="false">
      <c r="B29" s="6"/>
      <c r="G29" s="6"/>
    </row>
    <row r="30" customFormat="false" ht="15" hidden="false" customHeight="true" outlineLevel="0" collapsed="false">
      <c r="B30" s="1076" t="s">
        <v>4959</v>
      </c>
      <c r="C30" s="1284" t="n">
        <f aca="false">C28/'Museum · Revenue'!E24</f>
        <v>0.146942427390666</v>
      </c>
      <c r="G30" s="6"/>
    </row>
    <row r="31" customFormat="false" ht="15" hidden="false" customHeight="true" outlineLevel="0" collapsed="false">
      <c r="B31" s="6"/>
      <c r="G31" s="6"/>
    </row>
    <row r="32" customFormat="false" ht="15" hidden="false" customHeight="true" outlineLevel="0" collapsed="false">
      <c r="B32" s="592" t="s">
        <v>4961</v>
      </c>
      <c r="C32" s="1437" t="str">
        <f aca="false">IF(ABS((C27+C28)-C24)&lt;1,"✓ Reconciles","✗ Diff: "&amp;TEXT((C27+C28)-C24,"$#,##0"))</f>
        <v>✓ Reconciles</v>
      </c>
      <c r="G32" s="6"/>
    </row>
    <row r="33" customFormat="false" ht="15" hidden="false" customHeight="true" outlineLevel="0" collapsed="false">
      <c r="B33" s="6"/>
      <c r="G33" s="6"/>
    </row>
    <row r="34" customFormat="false" ht="21.75" hidden="false" customHeight="true" outlineLevel="0" collapsed="false">
      <c r="B34" s="125" t="s">
        <v>7135</v>
      </c>
      <c r="C34" s="125"/>
      <c r="D34" s="125"/>
      <c r="E34" s="125"/>
      <c r="F34" s="125"/>
      <c r="G34" s="125"/>
      <c r="H34" s="125"/>
    </row>
    <row r="35" customFormat="false" ht="15" hidden="false" customHeight="true" outlineLevel="0" collapsed="false">
      <c r="B35" s="6" t="s">
        <v>4962</v>
      </c>
      <c r="C35" s="1374" t="n">
        <f aca="false">'Museum · Revenue'!E24</f>
        <v>488873.1</v>
      </c>
      <c r="G35" s="6"/>
    </row>
    <row r="36" customFormat="false" ht="15" hidden="false" customHeight="true" outlineLevel="0" collapsed="false">
      <c r="B36" s="6" t="s">
        <v>4963</v>
      </c>
      <c r="C36" s="1375" t="n">
        <f aca="false">-C24</f>
        <v>-249036.2</v>
      </c>
      <c r="G36" s="6"/>
    </row>
    <row r="37" customFormat="false" ht="17.25" hidden="false" customHeight="true" outlineLevel="0" collapsed="false">
      <c r="B37" s="1376" t="s">
        <v>7136</v>
      </c>
      <c r="C37" s="1377" t="n">
        <f aca="false">C35+C36</f>
        <v>239836.9</v>
      </c>
      <c r="G37" s="6"/>
    </row>
    <row r="38" customFormat="false" ht="15" hidden="false" customHeight="true" outlineLevel="0" collapsed="false">
      <c r="B38" s="592" t="s">
        <v>4991</v>
      </c>
      <c r="C38" s="1156" t="n">
        <f aca="false">C37/C35</f>
        <v>0.49059132114244</v>
      </c>
      <c r="D38" s="565" t="s">
        <v>7137</v>
      </c>
      <c r="G38" s="6"/>
    </row>
  </sheetData>
  <mergeCells count="6">
    <mergeCell ref="B2:F2"/>
    <mergeCell ref="G2:J2"/>
    <mergeCell ref="B3:J3"/>
    <mergeCell ref="B5:H5"/>
    <mergeCell ref="B26:H26"/>
    <mergeCell ref="B34:H34"/>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K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7138</v>
      </c>
      <c r="C2" s="88"/>
      <c r="D2" s="88"/>
      <c r="E2" s="88"/>
      <c r="F2" s="88"/>
      <c r="G2" s="88"/>
      <c r="H2" s="89" t="s">
        <v>995</v>
      </c>
      <c r="I2" s="89"/>
      <c r="J2" s="89"/>
      <c r="K2" s="89"/>
    </row>
    <row r="3" customFormat="false" ht="33.75" hidden="false" customHeight="true" outlineLevel="0" collapsed="false">
      <c r="B3" s="90" t="s">
        <v>5924</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206</v>
      </c>
      <c r="C5" s="98" t="s">
        <v>760</v>
      </c>
      <c r="D5" s="98" t="s">
        <v>908</v>
      </c>
      <c r="E5" s="98" t="s">
        <v>765</v>
      </c>
      <c r="F5" s="98" t="s">
        <v>770</v>
      </c>
      <c r="G5" s="98" t="s">
        <v>909</v>
      </c>
      <c r="H5" s="98" t="s">
        <v>910</v>
      </c>
      <c r="I5" s="98" t="s">
        <v>911</v>
      </c>
      <c r="J5" s="98" t="s">
        <v>912</v>
      </c>
      <c r="K5" s="99" t="s">
        <v>875</v>
      </c>
    </row>
    <row r="6" customFormat="false" ht="15" hidden="false" customHeight="true" outlineLevel="0" collapsed="false">
      <c r="B6" s="592" t="s">
        <v>4059</v>
      </c>
      <c r="C6" s="1378" t="n">
        <v>0.8</v>
      </c>
      <c r="D6" s="1378" t="n">
        <v>0.9</v>
      </c>
      <c r="E6" s="1378" t="n">
        <v>1</v>
      </c>
      <c r="F6" s="1378" t="n">
        <v>1</v>
      </c>
      <c r="G6" s="1378" t="n">
        <v>1</v>
      </c>
      <c r="H6" s="1378" t="n">
        <v>1.05</v>
      </c>
      <c r="I6" s="1378" t="n">
        <v>1.05</v>
      </c>
      <c r="J6" s="1378" t="n">
        <v>1.05</v>
      </c>
      <c r="K6" s="6"/>
    </row>
    <row r="7" customFormat="false" ht="15" hidden="false" customHeight="true" outlineLevel="0" collapsed="false">
      <c r="B7" s="592" t="s">
        <v>5925</v>
      </c>
      <c r="C7" s="1379" t="n">
        <f aca="false">(1+0.03)^0</f>
        <v>1</v>
      </c>
      <c r="D7" s="1379" t="n">
        <f aca="false">(1+0.03)^1</f>
        <v>1.03</v>
      </c>
      <c r="E7" s="1379" t="n">
        <f aca="false">(1+0.03)^2</f>
        <v>1.0609</v>
      </c>
      <c r="F7" s="1379" t="n">
        <f aca="false">(1+0.03)^3</f>
        <v>1.092727</v>
      </c>
      <c r="G7" s="1379" t="n">
        <f aca="false">(1+0.03)^4</f>
        <v>1.12550881</v>
      </c>
      <c r="H7" s="1379" t="n">
        <f aca="false">(1+0.03)^5</f>
        <v>1.1592740743</v>
      </c>
      <c r="I7" s="1379" t="n">
        <f aca="false">(1+0.03)^6</f>
        <v>1.194052296529</v>
      </c>
      <c r="J7" s="1379" t="n">
        <f aca="false">(1+0.03)^7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380" t="s">
        <v>4062</v>
      </c>
      <c r="C10" s="720" t="n">
        <f aca="false">'Museum · Revenue'!E24</f>
        <v>488873.1</v>
      </c>
      <c r="D10" s="720" t="n">
        <f aca="false">'Museum · Revenue'!E24</f>
        <v>488873.1</v>
      </c>
      <c r="E10" s="720" t="n">
        <f aca="false">'Museum · Revenue'!E24</f>
        <v>488873.1</v>
      </c>
      <c r="F10" s="720" t="n">
        <f aca="false">'Museum · Revenue'!E24</f>
        <v>488873.1</v>
      </c>
      <c r="G10" s="720" t="n">
        <f aca="false">'Museum · Revenue'!E24</f>
        <v>488873.1</v>
      </c>
      <c r="H10" s="720" t="n">
        <f aca="false">'Museum · Revenue'!E24</f>
        <v>488873.1</v>
      </c>
      <c r="I10" s="720" t="n">
        <f aca="false">'Museum · Revenue'!E24</f>
        <v>488873.1</v>
      </c>
      <c r="J10" s="720" t="n">
        <f aca="false">'Museum · Revenue'!E24</f>
        <v>488873.1</v>
      </c>
      <c r="K10" s="6"/>
    </row>
    <row r="11" customFormat="false" ht="15" hidden="false" customHeight="true" outlineLevel="0" collapsed="false">
      <c r="B11" s="81" t="s">
        <v>4063</v>
      </c>
      <c r="C11" s="544" t="n">
        <f aca="false">'Museum · Revenue'!E24*C6*C7</f>
        <v>391098.48</v>
      </c>
      <c r="D11" s="544" t="n">
        <f aca="false">'Museum · Revenue'!E24*D6*D7</f>
        <v>453185.3637</v>
      </c>
      <c r="E11" s="544" t="n">
        <f aca="false">'Museum · Revenue'!E24*E6*E7</f>
        <v>518645.47179</v>
      </c>
      <c r="F11" s="544" t="n">
        <f aca="false">'Museum · Revenue'!E24*F6*F7</f>
        <v>534204.8359437</v>
      </c>
      <c r="G11" s="544" t="n">
        <f aca="false">'Museum · Revenue'!E24*G6*G7</f>
        <v>550230.981022011</v>
      </c>
      <c r="H11" s="544" t="n">
        <f aca="false">'Museum · Revenue'!E24*H6*H7</f>
        <v>595074.805975305</v>
      </c>
      <c r="I11" s="544" t="n">
        <f aca="false">'Museum · Revenue'!E24*I6*I7</f>
        <v>612927.050154564</v>
      </c>
      <c r="J11" s="544" t="n">
        <f aca="false">'Museum · Revenue'!E24*J6*J7</f>
        <v>631314.861659201</v>
      </c>
      <c r="K11" s="1381" t="n">
        <f aca="false">SUM(C11:J11)</f>
        <v>4286681.85024478</v>
      </c>
    </row>
    <row r="12" customFormat="false" ht="15" hidden="false" customHeight="true" outlineLevel="0" collapsed="false">
      <c r="B12" s="1382" t="s">
        <v>4064</v>
      </c>
      <c r="D12" s="593" t="n">
        <f aca="false">D11/C11-1</f>
        <v>0.15875</v>
      </c>
      <c r="E12" s="593" t="n">
        <f aca="false">E11/D11-1</f>
        <v>0.144444444444444</v>
      </c>
      <c r="F12" s="593" t="n">
        <f aca="false">F11/E11-1</f>
        <v>0.03</v>
      </c>
      <c r="G12" s="593" t="n">
        <f aca="false">G11/F11-1</f>
        <v>0.0300000000000003</v>
      </c>
      <c r="H12" s="593" t="n">
        <f aca="false">H11/G11-1</f>
        <v>0.0814999999999999</v>
      </c>
      <c r="I12" s="593" t="n">
        <f aca="false">I11/H11-1</f>
        <v>0.03</v>
      </c>
      <c r="J12" s="593"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4066</v>
      </c>
      <c r="C15" s="360" t="n">
        <f aca="false">'Museum · Costs'!C27*C7</f>
        <v>177200</v>
      </c>
      <c r="D15" s="360" t="n">
        <f aca="false">'Museum · Costs'!C27*D7</f>
        <v>182516</v>
      </c>
      <c r="E15" s="360" t="n">
        <f aca="false">'Museum · Costs'!C27*E7</f>
        <v>187991.48</v>
      </c>
      <c r="F15" s="360" t="n">
        <f aca="false">'Museum · Costs'!C27*F7</f>
        <v>193631.2244</v>
      </c>
      <c r="G15" s="360" t="n">
        <f aca="false">'Museum · Costs'!C27*G7</f>
        <v>199440.161132</v>
      </c>
      <c r="H15" s="360" t="n">
        <f aca="false">'Museum · Costs'!C27*H7</f>
        <v>205423.36596596</v>
      </c>
      <c r="I15" s="360" t="n">
        <f aca="false">'Museum · Costs'!C27*I7</f>
        <v>211586.066944939</v>
      </c>
      <c r="J15" s="360" t="n">
        <f aca="false">'Museum · Costs'!C27*J7</f>
        <v>217933.648953287</v>
      </c>
      <c r="K15" s="6"/>
    </row>
    <row r="16" customFormat="false" ht="15" hidden="false" customHeight="true" outlineLevel="0" collapsed="false">
      <c r="B16" s="126" t="s">
        <v>4067</v>
      </c>
      <c r="C16" s="360" t="n">
        <f aca="false">'Museum · Costs'!C28*C6*C7</f>
        <v>57468.96</v>
      </c>
      <c r="D16" s="360" t="n">
        <f aca="false">'Museum · Costs'!C28*D6*D7</f>
        <v>66592.1574</v>
      </c>
      <c r="E16" s="360" t="n">
        <f aca="false">'Museum · Costs'!C28*E6*E7</f>
        <v>76211.02458</v>
      </c>
      <c r="F16" s="360" t="n">
        <f aca="false">'Museum · Costs'!C28*F6*F7</f>
        <v>78497.3553174</v>
      </c>
      <c r="G16" s="360" t="n">
        <f aca="false">'Museum · Costs'!C28*G6*G7</f>
        <v>80852.275976922</v>
      </c>
      <c r="H16" s="360" t="n">
        <f aca="false">'Museum · Costs'!C28*H6*H7</f>
        <v>87441.7364690412</v>
      </c>
      <c r="I16" s="360" t="n">
        <f aca="false">'Museum · Costs'!C28*I6*I7</f>
        <v>90064.9885631124</v>
      </c>
      <c r="J16" s="360" t="n">
        <f aca="false">'Museum · Costs'!C28*J6*J7</f>
        <v>92766.9382200058</v>
      </c>
      <c r="K16" s="6"/>
    </row>
    <row r="17" customFormat="false" ht="15" hidden="false" customHeight="true" outlineLevel="0" collapsed="false">
      <c r="B17" s="81" t="s">
        <v>4068</v>
      </c>
      <c r="C17" s="599" t="n">
        <f aca="false">C15+C16</f>
        <v>234668.96</v>
      </c>
      <c r="D17" s="599" t="n">
        <f aca="false">D15+D16</f>
        <v>249108.1574</v>
      </c>
      <c r="E17" s="599" t="n">
        <f aca="false">E15+E16</f>
        <v>264202.50458</v>
      </c>
      <c r="F17" s="599" t="n">
        <f aca="false">F15+F16</f>
        <v>272128.5797174</v>
      </c>
      <c r="G17" s="599" t="n">
        <f aca="false">G15+G16</f>
        <v>280292.437108922</v>
      </c>
      <c r="H17" s="599" t="n">
        <f aca="false">H15+H16</f>
        <v>292865.102435001</v>
      </c>
      <c r="I17" s="599" t="n">
        <f aca="false">I15+I16</f>
        <v>301651.055508051</v>
      </c>
      <c r="J17" s="599" t="n">
        <f aca="false">J15+J16</f>
        <v>310700.587173293</v>
      </c>
      <c r="K17" s="1381" t="n">
        <f aca="false">SUM(C17:J17)</f>
        <v>2205617.38392267</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15" hidden="false" customHeight="true" outlineLevel="0" collapsed="false">
      <c r="B20" s="81" t="s">
        <v>3437</v>
      </c>
      <c r="C20" s="577" t="n">
        <f aca="false">C11-C17</f>
        <v>156429.52</v>
      </c>
      <c r="D20" s="577" t="n">
        <f aca="false">D11-D17</f>
        <v>204077.2063</v>
      </c>
      <c r="E20" s="577" t="n">
        <f aca="false">E11-E17</f>
        <v>254442.96721</v>
      </c>
      <c r="F20" s="577" t="n">
        <f aca="false">F11-F17</f>
        <v>262076.2562263</v>
      </c>
      <c r="G20" s="577" t="n">
        <f aca="false">G11-G17</f>
        <v>269938.543913089</v>
      </c>
      <c r="H20" s="577" t="n">
        <f aca="false">H11-H17</f>
        <v>302209.703540304</v>
      </c>
      <c r="I20" s="577" t="n">
        <f aca="false">I11-I17</f>
        <v>311275.994646513</v>
      </c>
      <c r="J20" s="577" t="n">
        <f aca="false">J11-J17</f>
        <v>320614.274485908</v>
      </c>
      <c r="K20" s="1383" t="n">
        <f aca="false">SUM(C20:J20)</f>
        <v>2081064.46632211</v>
      </c>
    </row>
    <row r="21" customFormat="false" ht="15" hidden="false" customHeight="true" outlineLevel="0" collapsed="false">
      <c r="B21" s="1382" t="s">
        <v>4387</v>
      </c>
      <c r="C21" s="593" t="n">
        <f aca="false">C20/C11</f>
        <v>0.399974758275716</v>
      </c>
      <c r="D21" s="593" t="n">
        <f aca="false">D20/D11</f>
        <v>0.450317293201674</v>
      </c>
      <c r="E21" s="593" t="n">
        <f aca="false">E20/E11</f>
        <v>0.49059132114244</v>
      </c>
      <c r="F21" s="593" t="n">
        <f aca="false">F20/F11</f>
        <v>0.49059132114244</v>
      </c>
      <c r="G21" s="593" t="n">
        <f aca="false">G20/G11</f>
        <v>0.49059132114244</v>
      </c>
      <c r="H21" s="593" t="n">
        <f aca="false">H20/H11</f>
        <v>0.507851618831339</v>
      </c>
      <c r="I21" s="593" t="n">
        <f aca="false">I20/I11</f>
        <v>0.507851618831339</v>
      </c>
      <c r="J21" s="593" t="n">
        <f aca="false">J20/J11</f>
        <v>0.507851618831339</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1164" t="s">
        <v>4072</v>
      </c>
      <c r="C24" s="387" t="n">
        <f aca="false">C11</f>
        <v>391098.48</v>
      </c>
      <c r="D24" s="387" t="n">
        <f aca="false">C24+D11</f>
        <v>844283.8437</v>
      </c>
      <c r="E24" s="387" t="n">
        <f aca="false">D24+E11</f>
        <v>1362929.31549</v>
      </c>
      <c r="F24" s="387" t="n">
        <f aca="false">E24+F11</f>
        <v>1897134.1514337</v>
      </c>
      <c r="G24" s="387" t="n">
        <f aca="false">F24+G11</f>
        <v>2447365.13245571</v>
      </c>
      <c r="H24" s="387" t="n">
        <f aca="false">G24+H11</f>
        <v>3042439.93843102</v>
      </c>
      <c r="I24" s="387" t="n">
        <f aca="false">H24+I11</f>
        <v>3655366.98858558</v>
      </c>
      <c r="J24" s="387" t="n">
        <f aca="false">I24+J11</f>
        <v>4286681.85024478</v>
      </c>
      <c r="K24" s="6"/>
    </row>
    <row r="25" customFormat="false" ht="15" hidden="false" customHeight="true" outlineLevel="0" collapsed="false">
      <c r="B25" s="1164" t="s">
        <v>4073</v>
      </c>
      <c r="C25" s="387" t="n">
        <f aca="false">C20</f>
        <v>156429.52</v>
      </c>
      <c r="D25" s="387" t="n">
        <f aca="false">C25+D20</f>
        <v>360506.7263</v>
      </c>
      <c r="E25" s="387" t="n">
        <f aca="false">D25+E20</f>
        <v>614949.69351</v>
      </c>
      <c r="F25" s="387" t="n">
        <f aca="false">E25+F20</f>
        <v>877025.9497363</v>
      </c>
      <c r="G25" s="387" t="n">
        <f aca="false">F25+G20</f>
        <v>1146964.49364939</v>
      </c>
      <c r="H25" s="387" t="n">
        <f aca="false">G25+H20</f>
        <v>1449174.19718969</v>
      </c>
      <c r="I25" s="387" t="n">
        <f aca="false">H25+I20</f>
        <v>1760450.19183621</v>
      </c>
      <c r="J25" s="387" t="n">
        <f aca="false">I25+J20</f>
        <v>2081064.46632211</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125" t="s">
        <v>5926</v>
      </c>
      <c r="C28" s="125"/>
      <c r="D28" s="125"/>
      <c r="E28" s="125"/>
      <c r="F28" s="125"/>
      <c r="G28" s="125"/>
      <c r="H28" s="125"/>
      <c r="I28" s="125"/>
      <c r="J28" s="125"/>
      <c r="K28" s="125"/>
    </row>
    <row r="29" customFormat="false" ht="21.75" hidden="false" customHeight="true" outlineLevel="0" collapsed="false">
      <c r="B29" s="97" t="s">
        <v>206</v>
      </c>
      <c r="C29" s="98" t="s">
        <v>393</v>
      </c>
      <c r="D29" s="98" t="s">
        <v>778</v>
      </c>
      <c r="K29" s="6"/>
    </row>
    <row r="30" customFormat="false" ht="15" hidden="false" customHeight="true" outlineLevel="0" collapsed="false">
      <c r="B30" s="113" t="s">
        <v>4075</v>
      </c>
      <c r="C30" s="544" t="n">
        <f aca="false">C11</f>
        <v>391098.48</v>
      </c>
      <c r="D30" s="634" t="s">
        <v>5927</v>
      </c>
      <c r="K30" s="6"/>
    </row>
    <row r="31" customFormat="false" ht="15" hidden="false" customHeight="true" outlineLevel="0" collapsed="false">
      <c r="B31" s="113" t="s">
        <v>4077</v>
      </c>
      <c r="C31" s="544" t="n">
        <f aca="false">J11</f>
        <v>631314.861659201</v>
      </c>
      <c r="D31" s="634" t="s">
        <v>5928</v>
      </c>
      <c r="K31" s="6"/>
    </row>
    <row r="32" customFormat="false" ht="15" hidden="false" customHeight="true" outlineLevel="0" collapsed="false">
      <c r="B32" s="113" t="s">
        <v>3460</v>
      </c>
      <c r="C32" s="544" t="n">
        <f aca="false">K11</f>
        <v>4286681.85024478</v>
      </c>
      <c r="D32" s="634" t="s">
        <v>4079</v>
      </c>
      <c r="K32" s="6"/>
    </row>
    <row r="33" customFormat="false" ht="15" hidden="false" customHeight="true" outlineLevel="0" collapsed="false">
      <c r="B33" s="113" t="s">
        <v>5929</v>
      </c>
      <c r="C33" s="544" t="n">
        <f aca="false">K20</f>
        <v>2081064.46632211</v>
      </c>
      <c r="D33" s="634" t="s">
        <v>4081</v>
      </c>
      <c r="K33" s="6"/>
    </row>
    <row r="34" customFormat="false" ht="15" hidden="false" customHeight="true" outlineLevel="0" collapsed="false">
      <c r="B34" s="113" t="s">
        <v>5930</v>
      </c>
      <c r="C34" s="1288" t="n">
        <f aca="false">K20/K11</f>
        <v>0.485472106170716</v>
      </c>
      <c r="D34" s="634" t="s">
        <v>4083</v>
      </c>
      <c r="K34" s="6"/>
    </row>
    <row r="35" customFormat="false" ht="15" hidden="false" customHeight="true" outlineLevel="0" collapsed="false">
      <c r="B35" s="113" t="s">
        <v>4084</v>
      </c>
      <c r="C35" s="1288" t="n">
        <f aca="false">(J11/C11)^(1/7)-1</f>
        <v>0.0708004745979443</v>
      </c>
      <c r="D35" s="634" t="s">
        <v>4085</v>
      </c>
      <c r="K35" s="6"/>
    </row>
  </sheetData>
  <mergeCells count="8">
    <mergeCell ref="B2:G2"/>
    <mergeCell ref="H2:K2"/>
    <mergeCell ref="B3:K3"/>
    <mergeCell ref="B9:K9"/>
    <mergeCell ref="B14:K14"/>
    <mergeCell ref="B19:K19"/>
    <mergeCell ref="B23:K23"/>
    <mergeCell ref="B28:K2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7139</v>
      </c>
      <c r="C2" s="15"/>
      <c r="D2" s="15"/>
      <c r="E2" s="15"/>
      <c r="F2" s="15"/>
      <c r="G2" s="15"/>
      <c r="H2" s="89" t="s">
        <v>995</v>
      </c>
      <c r="I2" s="89"/>
      <c r="J2" s="89"/>
      <c r="K2" s="89"/>
    </row>
    <row r="3" customFormat="false" ht="33.75" hidden="false" customHeight="true" outlineLevel="0" collapsed="false">
      <c r="B3" s="90" t="s">
        <v>5932</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575" t="s">
        <v>4061</v>
      </c>
      <c r="C6" s="575"/>
      <c r="D6" s="575"/>
      <c r="E6" s="575"/>
      <c r="F6" s="575"/>
      <c r="G6" s="575"/>
      <c r="H6" s="575"/>
      <c r="I6" s="575"/>
      <c r="J6" s="575"/>
      <c r="K6" s="575"/>
    </row>
    <row r="7" customFormat="false" ht="15" hidden="false" customHeight="true" outlineLevel="0" collapsed="false">
      <c r="B7" s="81" t="s">
        <v>207</v>
      </c>
      <c r="C7" s="406" t="n">
        <f aca="false">'Museum · 8-Year'!C11</f>
        <v>391098.48</v>
      </c>
      <c r="D7" s="406" t="n">
        <f aca="false">'Museum · 8-Year'!D11</f>
        <v>453185.3637</v>
      </c>
      <c r="E7" s="406" t="n">
        <f aca="false">'Museum · 8-Year'!E11</f>
        <v>518645.47179</v>
      </c>
      <c r="F7" s="406" t="n">
        <f aca="false">'Museum · 8-Year'!F11</f>
        <v>534204.8359437</v>
      </c>
      <c r="G7" s="406" t="n">
        <f aca="false">'Museum · 8-Year'!G11</f>
        <v>550230.981022011</v>
      </c>
      <c r="H7" s="406" t="n">
        <f aca="false">'Museum · 8-Year'!H11</f>
        <v>595074.805975305</v>
      </c>
      <c r="I7" s="406" t="n">
        <f aca="false">'Museum · 8-Year'!I11</f>
        <v>612927.050154564</v>
      </c>
      <c r="J7" s="406" t="n">
        <f aca="false">'Museum · 8-Year'!J11</f>
        <v>631314.861659201</v>
      </c>
      <c r="K7" s="546" t="n">
        <f aca="false">SUM(C7:J7)</f>
        <v>4286681.85024478</v>
      </c>
    </row>
    <row r="8" customFormat="false" ht="15" hidden="false" customHeight="true" outlineLevel="0" collapsed="false">
      <c r="B8" s="6"/>
      <c r="K8" s="6"/>
    </row>
    <row r="9" customFormat="false" ht="21.75" hidden="false" customHeight="true" outlineLevel="0" collapsed="false">
      <c r="B9" s="123" t="s">
        <v>4091</v>
      </c>
      <c r="C9" s="123"/>
      <c r="D9" s="123"/>
      <c r="E9" s="123"/>
      <c r="F9" s="123"/>
      <c r="G9" s="123"/>
      <c r="H9" s="123"/>
      <c r="I9" s="123"/>
      <c r="J9" s="123"/>
      <c r="K9" s="123"/>
    </row>
    <row r="10" customFormat="false" ht="15" hidden="false" customHeight="true" outlineLevel="0" collapsed="false">
      <c r="B10" s="113" t="s">
        <v>4092</v>
      </c>
      <c r="C10" s="360" t="n">
        <f aca="false">-'Museum · 8-Year'!C17</f>
        <v>-234668.96</v>
      </c>
      <c r="D10" s="360" t="n">
        <f aca="false">-'Museum · 8-Year'!D17</f>
        <v>-249108.1574</v>
      </c>
      <c r="E10" s="360" t="n">
        <f aca="false">-'Museum · 8-Year'!E17</f>
        <v>-264202.50458</v>
      </c>
      <c r="F10" s="360" t="n">
        <f aca="false">-'Museum · 8-Year'!F17</f>
        <v>-272128.5797174</v>
      </c>
      <c r="G10" s="360" t="n">
        <f aca="false">-'Museum · 8-Year'!G17</f>
        <v>-280292.437108922</v>
      </c>
      <c r="H10" s="360" t="n">
        <f aca="false">-'Museum · 8-Year'!H17</f>
        <v>-292865.102435001</v>
      </c>
      <c r="I10" s="360" t="n">
        <f aca="false">-'Museum · 8-Year'!I17</f>
        <v>-301651.055508051</v>
      </c>
      <c r="J10" s="360" t="n">
        <f aca="false">-'Museum · 8-Year'!J17</f>
        <v>-310700.587173293</v>
      </c>
      <c r="K10" s="1384" t="n">
        <f aca="false">SUM(C10:J10)</f>
        <v>-2205617.38392267</v>
      </c>
    </row>
    <row r="11" customFormat="false" ht="15" hidden="false" customHeight="true" outlineLevel="0" collapsed="false">
      <c r="B11" s="6"/>
      <c r="K11" s="6"/>
    </row>
    <row r="12" customFormat="false" ht="21.75" hidden="false" customHeight="true" outlineLevel="0" collapsed="false">
      <c r="B12" s="72" t="s">
        <v>4093</v>
      </c>
      <c r="C12" s="72"/>
      <c r="D12" s="72"/>
      <c r="E12" s="72"/>
      <c r="F12" s="72"/>
      <c r="G12" s="72"/>
      <c r="H12" s="72"/>
      <c r="I12" s="72"/>
      <c r="J12" s="72"/>
      <c r="K12" s="72"/>
    </row>
    <row r="13" customFormat="false" ht="15" hidden="false" customHeight="true" outlineLevel="0" collapsed="false">
      <c r="B13" s="81" t="s">
        <v>4094</v>
      </c>
      <c r="C13" s="577" t="n">
        <f aca="false">C7+C10</f>
        <v>156429.52</v>
      </c>
      <c r="D13" s="577" t="n">
        <f aca="false">D7+D10</f>
        <v>204077.2063</v>
      </c>
      <c r="E13" s="577" t="n">
        <f aca="false">E7+E10</f>
        <v>254442.96721</v>
      </c>
      <c r="F13" s="577" t="n">
        <f aca="false">F7+F10</f>
        <v>262076.2562263</v>
      </c>
      <c r="G13" s="577" t="n">
        <f aca="false">G7+G10</f>
        <v>269938.543913089</v>
      </c>
      <c r="H13" s="577" t="n">
        <f aca="false">H7+H10</f>
        <v>302209.703540304</v>
      </c>
      <c r="I13" s="577" t="n">
        <f aca="false">I7+I10</f>
        <v>311275.994646513</v>
      </c>
      <c r="J13" s="577" t="n">
        <f aca="false">J7+J10</f>
        <v>320614.274485908</v>
      </c>
      <c r="K13" s="1383" t="n">
        <f aca="false">SUM(C13:J13)</f>
        <v>2081064.46632211</v>
      </c>
    </row>
    <row r="14" customFormat="false" ht="15" hidden="false" customHeight="true" outlineLevel="0" collapsed="false">
      <c r="B14" s="1382" t="s">
        <v>4095</v>
      </c>
      <c r="C14" s="593" t="n">
        <f aca="false">C13/C7</f>
        <v>0.399974758275716</v>
      </c>
      <c r="D14" s="593" t="n">
        <f aca="false">D13/D7</f>
        <v>0.450317293201674</v>
      </c>
      <c r="E14" s="593" t="n">
        <f aca="false">E13/E7</f>
        <v>0.49059132114244</v>
      </c>
      <c r="F14" s="593" t="n">
        <f aca="false">F13/F7</f>
        <v>0.49059132114244</v>
      </c>
      <c r="G14" s="593" t="n">
        <f aca="false">G13/G7</f>
        <v>0.49059132114244</v>
      </c>
      <c r="H14" s="593" t="n">
        <f aca="false">H13/H7</f>
        <v>0.507851618831339</v>
      </c>
      <c r="I14" s="593" t="n">
        <f aca="false">I13/I7</f>
        <v>0.507851618831339</v>
      </c>
      <c r="J14" s="593" t="n">
        <f aca="false">J13/J7</f>
        <v>0.507851618831339</v>
      </c>
      <c r="K14" s="6"/>
    </row>
    <row r="15" customFormat="false" ht="15" hidden="false" customHeight="true" outlineLevel="0" collapsed="false">
      <c r="B15" s="6"/>
      <c r="K15" s="6"/>
    </row>
    <row r="16" customFormat="false" ht="15" hidden="false" customHeight="true" outlineLevel="0" collapsed="false">
      <c r="B16" s="592" t="s">
        <v>4096</v>
      </c>
      <c r="D16" s="593" t="n">
        <f aca="false">D7/C7-1</f>
        <v>0.15875</v>
      </c>
      <c r="E16" s="593" t="n">
        <f aca="false">E7/D7-1</f>
        <v>0.144444444444444</v>
      </c>
      <c r="F16" s="593" t="n">
        <f aca="false">F7/E7-1</f>
        <v>0.03</v>
      </c>
      <c r="G16" s="593" t="n">
        <f aca="false">G7/F7-1</f>
        <v>0.0300000000000003</v>
      </c>
      <c r="H16" s="593" t="n">
        <f aca="false">H7/G7-1</f>
        <v>0.0814999999999999</v>
      </c>
      <c r="I16" s="593" t="n">
        <f aca="false">I7/H7-1</f>
        <v>0.03</v>
      </c>
      <c r="J16" s="593" t="n">
        <f aca="false">J7/I7-1</f>
        <v>0.03</v>
      </c>
      <c r="K16" s="6"/>
    </row>
    <row r="17" customFormat="false" ht="15" hidden="false" customHeight="true" outlineLevel="0" collapsed="false">
      <c r="B17" s="6"/>
      <c r="K17" s="6"/>
    </row>
    <row r="18" customFormat="false" ht="15" hidden="false" customHeight="true" outlineLevel="0" collapsed="false">
      <c r="B18" s="6"/>
      <c r="K18" s="6"/>
    </row>
    <row r="19" customFormat="false" ht="21.75" hidden="false" customHeight="true" outlineLevel="0" collapsed="false">
      <c r="B19" s="575" t="s">
        <v>4097</v>
      </c>
      <c r="C19" s="575"/>
      <c r="D19" s="575"/>
      <c r="E19" s="575"/>
      <c r="F19" s="575"/>
      <c r="G19" s="575"/>
      <c r="H19" s="575"/>
      <c r="I19" s="575"/>
      <c r="J19" s="575"/>
      <c r="K19" s="575"/>
    </row>
    <row r="20" customFormat="false" ht="21.75" hidden="false" customHeight="true" outlineLevel="0" collapsed="false">
      <c r="B20" s="97" t="s">
        <v>206</v>
      </c>
      <c r="C20" s="98" t="s">
        <v>393</v>
      </c>
      <c r="D20" s="98" t="s">
        <v>86</v>
      </c>
      <c r="K20" s="6"/>
    </row>
    <row r="21" customFormat="false" ht="15" hidden="false" customHeight="true" outlineLevel="0" collapsed="false">
      <c r="B21" s="113" t="s">
        <v>3457</v>
      </c>
      <c r="C21" s="544" t="n">
        <f aca="false">C7</f>
        <v>391098.48</v>
      </c>
      <c r="D21" s="634" t="s">
        <v>5933</v>
      </c>
      <c r="K21" s="6"/>
    </row>
    <row r="22" customFormat="false" ht="15" hidden="false" customHeight="true" outlineLevel="0" collapsed="false">
      <c r="B22" s="113" t="s">
        <v>3458</v>
      </c>
      <c r="C22" s="544" t="n">
        <f aca="false">F7</f>
        <v>534204.8359437</v>
      </c>
      <c r="D22" s="634" t="s">
        <v>4099</v>
      </c>
      <c r="K22" s="6"/>
    </row>
    <row r="23" customFormat="false" ht="15" hidden="false" customHeight="true" outlineLevel="0" collapsed="false">
      <c r="B23" s="113" t="s">
        <v>4100</v>
      </c>
      <c r="C23" s="544" t="n">
        <f aca="false">J7</f>
        <v>631314.861659201</v>
      </c>
      <c r="D23" s="634" t="s">
        <v>4101</v>
      </c>
      <c r="K23" s="6"/>
    </row>
    <row r="24" customFormat="false" ht="15" hidden="false" customHeight="true" outlineLevel="0" collapsed="false">
      <c r="B24" s="113" t="s">
        <v>3460</v>
      </c>
      <c r="C24" s="544" t="n">
        <f aca="false">K7</f>
        <v>4286681.85024478</v>
      </c>
      <c r="D24" s="634" t="s">
        <v>4102</v>
      </c>
      <c r="K24" s="6"/>
    </row>
    <row r="25" customFormat="false" ht="15" hidden="false" customHeight="true" outlineLevel="0" collapsed="false">
      <c r="B25" s="113" t="s">
        <v>3461</v>
      </c>
      <c r="C25" s="544" t="n">
        <f aca="false">K13</f>
        <v>2081064.46632211</v>
      </c>
      <c r="D25" s="634" t="s">
        <v>4103</v>
      </c>
      <c r="K25" s="6"/>
    </row>
    <row r="26" customFormat="false" ht="15" hidden="false" customHeight="true" outlineLevel="0" collapsed="false">
      <c r="B26" s="113" t="s">
        <v>4104</v>
      </c>
      <c r="C26" s="1288" t="n">
        <f aca="false">K13/K7</f>
        <v>0.485472106170716</v>
      </c>
      <c r="D26" s="634" t="s">
        <v>4105</v>
      </c>
      <c r="K26" s="6"/>
    </row>
    <row r="27" customFormat="false" ht="15" hidden="false" customHeight="true" outlineLevel="0" collapsed="false">
      <c r="B27" s="113" t="s">
        <v>4106</v>
      </c>
      <c r="C27" s="1288" t="n">
        <f aca="false">(J7/C7)^(1/7)-1</f>
        <v>0.0708004745979443</v>
      </c>
      <c r="D27" s="634" t="s">
        <v>4107</v>
      </c>
      <c r="K27" s="6"/>
    </row>
    <row r="28" customFormat="false" ht="15" hidden="false" customHeight="true" outlineLevel="0" collapsed="false">
      <c r="B28" s="6"/>
      <c r="K28" s="6"/>
    </row>
    <row r="29" customFormat="false" ht="15" hidden="false" customHeight="true" outlineLevel="0" collapsed="false">
      <c r="B29" s="6"/>
      <c r="K29" s="6"/>
    </row>
    <row r="30" customFormat="false" ht="21.75" hidden="false" customHeight="true" outlineLevel="0" collapsed="false">
      <c r="B30" s="304" t="s">
        <v>5934</v>
      </c>
      <c r="C30" s="304"/>
      <c r="D30" s="304"/>
      <c r="E30" s="304"/>
      <c r="F30" s="304"/>
      <c r="G30" s="304"/>
      <c r="H30" s="304"/>
      <c r="I30" s="304"/>
      <c r="J30" s="304"/>
      <c r="K30" s="304"/>
    </row>
    <row r="31" customFormat="false" ht="120" hidden="false" customHeight="true" outlineLevel="0" collapsed="false">
      <c r="B31" s="1385" t="s">
        <v>5935</v>
      </c>
      <c r="C31" s="1385"/>
      <c r="D31" s="1385"/>
      <c r="E31" s="1385"/>
      <c r="F31" s="1385"/>
      <c r="G31" s="1385"/>
      <c r="H31" s="1385"/>
      <c r="I31" s="1385"/>
      <c r="J31" s="1385"/>
      <c r="K31" s="1385"/>
    </row>
    <row r="32" customFormat="false" ht="15" hidden="false" customHeight="true" outlineLevel="0" collapsed="false">
      <c r="B32" s="1385"/>
      <c r="C32" s="1385"/>
      <c r="D32" s="1385"/>
      <c r="E32" s="1385"/>
      <c r="F32" s="1385"/>
      <c r="G32" s="1385"/>
      <c r="H32" s="1385"/>
      <c r="I32" s="1385"/>
      <c r="J32" s="1385"/>
      <c r="K32" s="1385"/>
    </row>
    <row r="33" customFormat="false" ht="15" hidden="false" customHeight="true" outlineLevel="0" collapsed="false">
      <c r="B33" s="1385"/>
      <c r="C33" s="1385"/>
      <c r="D33" s="1385"/>
      <c r="E33" s="1385"/>
      <c r="F33" s="1385"/>
      <c r="G33" s="1385"/>
      <c r="H33" s="1385"/>
      <c r="I33" s="1385"/>
      <c r="J33" s="1385"/>
      <c r="K33" s="1385"/>
    </row>
  </sheetData>
  <mergeCells count="9">
    <mergeCell ref="B2:G2"/>
    <mergeCell ref="H2:K2"/>
    <mergeCell ref="B3:K3"/>
    <mergeCell ref="B6:K6"/>
    <mergeCell ref="B9:K9"/>
    <mergeCell ref="B12:K12"/>
    <mergeCell ref="B19:K19"/>
    <mergeCell ref="B30:K30"/>
    <mergeCell ref="B31:K3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K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7140</v>
      </c>
      <c r="C2" s="88"/>
      <c r="D2" s="88"/>
      <c r="E2" s="88"/>
      <c r="F2" s="88"/>
      <c r="G2" s="88"/>
      <c r="H2" s="89" t="s">
        <v>995</v>
      </c>
      <c r="I2" s="89"/>
      <c r="J2" s="89"/>
      <c r="K2" s="89"/>
    </row>
    <row r="3" customFormat="false" ht="33.75" hidden="false" customHeight="true" outlineLevel="0" collapsed="false">
      <c r="B3" s="90" t="s">
        <v>5937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96" t="s">
        <v>4996</v>
      </c>
      <c r="C6" s="96"/>
      <c r="D6" s="96"/>
      <c r="E6" s="96"/>
      <c r="F6" s="96"/>
      <c r="G6" s="96"/>
      <c r="H6" s="96"/>
      <c r="I6" s="96"/>
      <c r="J6" s="96"/>
      <c r="K6" s="96"/>
    </row>
    <row r="7" customFormat="false" ht="15" hidden="false" customHeight="true" outlineLevel="0" collapsed="false">
      <c r="B7" s="81" t="s">
        <v>903</v>
      </c>
      <c r="C7" s="385" t="n">
        <f aca="false">'Museum · 8-Year'!C11</f>
        <v>391098.48</v>
      </c>
      <c r="D7" s="385" t="n">
        <f aca="false">'Museum · 8-Year'!D11</f>
        <v>453185.3637</v>
      </c>
      <c r="E7" s="385" t="n">
        <f aca="false">'Museum · 8-Year'!E11</f>
        <v>518645.47179</v>
      </c>
      <c r="F7" s="385" t="n">
        <f aca="false">'Museum · 8-Year'!F11</f>
        <v>534204.8359437</v>
      </c>
      <c r="G7" s="385" t="n">
        <f aca="false">'Museum · 8-Year'!G11</f>
        <v>550230.981022011</v>
      </c>
      <c r="H7" s="385" t="n">
        <f aca="false">'Museum · 8-Year'!H11</f>
        <v>595074.805975305</v>
      </c>
      <c r="I7" s="385" t="n">
        <f aca="false">'Museum · 8-Year'!I11</f>
        <v>612927.050154564</v>
      </c>
      <c r="J7" s="385" t="n">
        <f aca="false">'Museum · 8-Year'!J11</f>
        <v>631314.861659201</v>
      </c>
      <c r="K7" s="1386" t="n">
        <f aca="false">SUM(C7:J7)</f>
        <v>4286681.85024478</v>
      </c>
    </row>
    <row r="8" customFormat="false" ht="15" hidden="false" customHeight="true" outlineLevel="0" collapsed="false">
      <c r="B8" s="81" t="s">
        <v>4112</v>
      </c>
      <c r="C8" s="1294" t="n">
        <f aca="false">'Museum · 8-Year'!C20</f>
        <v>156429.52</v>
      </c>
      <c r="D8" s="1294" t="n">
        <f aca="false">'Museum · 8-Year'!D20</f>
        <v>204077.2063</v>
      </c>
      <c r="E8" s="1294" t="n">
        <f aca="false">'Museum · 8-Year'!E20</f>
        <v>254442.96721</v>
      </c>
      <c r="F8" s="1294" t="n">
        <f aca="false">'Museum · 8-Year'!F20</f>
        <v>262076.2562263</v>
      </c>
      <c r="G8" s="1294" t="n">
        <f aca="false">'Museum · 8-Year'!G20</f>
        <v>269938.543913089</v>
      </c>
      <c r="H8" s="1294" t="n">
        <f aca="false">'Museum · 8-Year'!H20</f>
        <v>302209.703540304</v>
      </c>
      <c r="I8" s="1294" t="n">
        <f aca="false">'Museum · 8-Year'!I20</f>
        <v>311275.994646513</v>
      </c>
      <c r="J8" s="1294" t="n">
        <f aca="false">'Museum · 8-Year'!J20</f>
        <v>320614.274485908</v>
      </c>
      <c r="K8" s="1387" t="n">
        <f aca="false">SUM(C8:J8)</f>
        <v>2081064.46632211</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388" t="n">
        <v>0.005</v>
      </c>
      <c r="K11" s="6"/>
    </row>
    <row r="12" customFormat="false" ht="15" hidden="false" customHeight="true" outlineLevel="0" collapsed="false">
      <c r="B12" s="113" t="s">
        <v>3766</v>
      </c>
      <c r="C12" s="1389" t="n">
        <v>14</v>
      </c>
      <c r="K12" s="6"/>
    </row>
    <row r="13" customFormat="false" ht="15" hidden="false" customHeight="true" outlineLevel="0" collapsed="false">
      <c r="B13" s="113" t="s">
        <v>3768</v>
      </c>
      <c r="C13" s="1389" t="n">
        <v>30</v>
      </c>
      <c r="K13" s="6"/>
    </row>
    <row r="14" customFormat="false" ht="15" hidden="false" customHeight="true" outlineLevel="0" collapsed="false">
      <c r="B14" s="6"/>
      <c r="K14" s="6"/>
    </row>
    <row r="15" customFormat="false" ht="15" hidden="false" customHeight="true" outlineLevel="0" collapsed="false">
      <c r="B15" s="1164" t="s">
        <v>4114</v>
      </c>
      <c r="C15" s="387" t="n">
        <f aca="false">C7*$C$11</f>
        <v>1955.4924</v>
      </c>
      <c r="D15" s="387" t="n">
        <f aca="false">D7*$C$11</f>
        <v>2265.9268185</v>
      </c>
      <c r="E15" s="387" t="n">
        <f aca="false">E7*$C$11</f>
        <v>2593.22735895</v>
      </c>
      <c r="F15" s="387" t="n">
        <f aca="false">F7*$C$11</f>
        <v>2671.0241797185</v>
      </c>
      <c r="G15" s="387" t="n">
        <f aca="false">G7*$C$11</f>
        <v>2751.15490511006</v>
      </c>
      <c r="H15" s="387" t="n">
        <f aca="false">H7*$C$11</f>
        <v>2975.37402987653</v>
      </c>
      <c r="I15" s="387" t="n">
        <f aca="false">I7*$C$11</f>
        <v>3064.63525077282</v>
      </c>
      <c r="J15" s="387" t="n">
        <f aca="false">J7*$C$11</f>
        <v>3156.57430829601</v>
      </c>
      <c r="K15" s="6"/>
    </row>
    <row r="16" customFormat="false" ht="15" hidden="false" customHeight="true" outlineLevel="0" collapsed="false">
      <c r="B16" s="1164" t="s">
        <v>4115</v>
      </c>
      <c r="C16" s="387" t="n">
        <f aca="false">C7/365*$C$12</f>
        <v>15001.0375890411</v>
      </c>
      <c r="D16" s="387" t="n">
        <f aca="false">D7/365*$C$12</f>
        <v>17382.4523063014</v>
      </c>
      <c r="E16" s="387" t="n">
        <f aca="false">E7/365*$C$12</f>
        <v>19893.2509727671</v>
      </c>
      <c r="F16" s="387" t="n">
        <f aca="false">F7/365*$C$12</f>
        <v>20490.0485019501</v>
      </c>
      <c r="G16" s="387" t="n">
        <f aca="false">G7/365*$C$12</f>
        <v>21104.7499570086</v>
      </c>
      <c r="H16" s="387" t="n">
        <f aca="false">H7/365*$C$12</f>
        <v>22824.7870785049</v>
      </c>
      <c r="I16" s="387" t="n">
        <f aca="false">I7/365*$C$12</f>
        <v>23509.53069086</v>
      </c>
      <c r="J16" s="387" t="n">
        <f aca="false">J7/365*$C$12</f>
        <v>24214.8166115858</v>
      </c>
      <c r="K16" s="6"/>
    </row>
    <row r="17" customFormat="false" ht="15" hidden="false" customHeight="true" outlineLevel="0" collapsed="false">
      <c r="B17" s="1164" t="s">
        <v>4116</v>
      </c>
      <c r="C17" s="387" t="n">
        <f aca="false">C7*('Museum · Costs'!C24/'Museum · Revenue'!E24)/365*$C$13</f>
        <v>16374.9830136986</v>
      </c>
      <c r="D17" s="387" t="n">
        <f aca="false">D7*('Museum · Costs'!C24/'Museum · Revenue'!E24)/365*$C$13</f>
        <v>18974.5115671233</v>
      </c>
      <c r="E17" s="387" t="n">
        <f aca="false">E7*('Museum · Costs'!C24/'Museum · Revenue'!E24)/365*$C$13</f>
        <v>21715.2743490411</v>
      </c>
      <c r="F17" s="387" t="n">
        <f aca="false">F7*('Museum · Costs'!C24/'Museum · Revenue'!E24)/365*$C$13</f>
        <v>22366.7325795123</v>
      </c>
      <c r="G17" s="387" t="n">
        <f aca="false">G7*('Museum · Costs'!C24/'Museum · Revenue'!E24)/365*$C$13</f>
        <v>23037.7345568977</v>
      </c>
      <c r="H17" s="387" t="n">
        <f aca="false">H7*('Museum · Costs'!C24/'Museum · Revenue'!E24)/365*$C$13</f>
        <v>24915.3099232849</v>
      </c>
      <c r="I17" s="387" t="n">
        <f aca="false">I7*('Museum · Costs'!C24/'Museum · Revenue'!E24)/365*$C$13</f>
        <v>25662.7692209834</v>
      </c>
      <c r="J17" s="387" t="n">
        <f aca="false">J7*('Museum · Costs'!C24/'Museum · Revenue'!E24)/365*$C$13</f>
        <v>26432.6522976129</v>
      </c>
      <c r="K17" s="6"/>
    </row>
    <row r="18" customFormat="false" ht="15" hidden="false" customHeight="true" outlineLevel="0" collapsed="false">
      <c r="B18" s="113" t="s">
        <v>4117</v>
      </c>
      <c r="C18" s="385" t="n">
        <f aca="false">C15+C16-C17</f>
        <v>581.546975342466</v>
      </c>
      <c r="D18" s="385" t="n">
        <f aca="false">D15+D16-D17</f>
        <v>673.867557678084</v>
      </c>
      <c r="E18" s="385" t="n">
        <f aca="false">E15+E16-E17</f>
        <v>771.20398267603</v>
      </c>
      <c r="F18" s="385" t="n">
        <f aca="false">F15+F16-F17</f>
        <v>794.340102156308</v>
      </c>
      <c r="G18" s="385" t="n">
        <f aca="false">G15+G16-G17</f>
        <v>818.170305220996</v>
      </c>
      <c r="H18" s="385" t="n">
        <f aca="false">H15+H16-H17</f>
        <v>884.851185096512</v>
      </c>
      <c r="I18" s="385" t="n">
        <f aca="false">I15+I16-I17</f>
        <v>911.396720649405</v>
      </c>
      <c r="J18" s="385" t="n">
        <f aca="false">J15+J16-J17</f>
        <v>938.738622268887</v>
      </c>
      <c r="K18" s="6"/>
    </row>
    <row r="19" customFormat="false" ht="15" hidden="false" customHeight="true" outlineLevel="0" collapsed="false">
      <c r="B19" s="1267" t="s">
        <v>4118</v>
      </c>
      <c r="C19" s="1292" t="n">
        <f aca="false">C18</f>
        <v>581.546975342466</v>
      </c>
      <c r="D19" s="1292" t="n">
        <f aca="false">D18-C18</f>
        <v>92.3205823356184</v>
      </c>
      <c r="E19" s="1292" t="n">
        <f aca="false">E18-D18</f>
        <v>97.3364249979459</v>
      </c>
      <c r="F19" s="1292" t="n">
        <f aca="false">F18-E18</f>
        <v>23.1361194802776</v>
      </c>
      <c r="G19" s="1292" t="n">
        <f aca="false">G18-F18</f>
        <v>23.8302030646883</v>
      </c>
      <c r="H19" s="1292" t="n">
        <f aca="false">H18-G18</f>
        <v>66.6808798755155</v>
      </c>
      <c r="I19" s="1292" t="n">
        <f aca="false">I18-H18</f>
        <v>26.5455355528939</v>
      </c>
      <c r="J19" s="1292" t="n">
        <f aca="false">J18-I18</f>
        <v>27.3419016194821</v>
      </c>
      <c r="K19" s="6"/>
    </row>
    <row r="20" customFormat="false" ht="15" hidden="false" customHeight="true" outlineLevel="0" collapsed="false">
      <c r="B20" s="6"/>
      <c r="K20" s="6"/>
    </row>
    <row r="21" customFormat="false" ht="21.75" hidden="false" customHeight="true" outlineLevel="0" collapsed="false">
      <c r="B21" s="575" t="s">
        <v>5938</v>
      </c>
      <c r="C21" s="575"/>
      <c r="D21" s="575"/>
      <c r="E21" s="575"/>
      <c r="F21" s="575"/>
      <c r="G21" s="575"/>
      <c r="H21" s="575"/>
      <c r="I21" s="575"/>
      <c r="J21" s="575"/>
      <c r="K21" s="575"/>
    </row>
    <row r="22" customFormat="false" ht="15" hidden="false" customHeight="true" outlineLevel="0" collapsed="false">
      <c r="B22" s="126" t="s">
        <v>3771</v>
      </c>
      <c r="C22" s="1388" t="n">
        <v>0.05</v>
      </c>
      <c r="K22" s="6"/>
    </row>
    <row r="23" customFormat="false" ht="15" hidden="false" customHeight="true" outlineLevel="0" collapsed="false">
      <c r="B23" s="113" t="s">
        <v>4121</v>
      </c>
      <c r="C23" s="360" t="n">
        <f aca="false">C7*$C$22</f>
        <v>19554.924</v>
      </c>
      <c r="D23" s="360" t="n">
        <f aca="false">D7*$C$22</f>
        <v>22659.268185</v>
      </c>
      <c r="E23" s="360" t="n">
        <f aca="false">E7*$C$22</f>
        <v>25932.2735895</v>
      </c>
      <c r="F23" s="360" t="n">
        <f aca="false">F7*$C$22</f>
        <v>26710.241797185</v>
      </c>
      <c r="G23" s="360" t="n">
        <f aca="false">G7*$C$22</f>
        <v>27511.5490511006</v>
      </c>
      <c r="H23" s="360" t="n">
        <f aca="false">H7*$C$22</f>
        <v>29753.7402987653</v>
      </c>
      <c r="I23" s="360" t="n">
        <f aca="false">I7*$C$22</f>
        <v>30646.3525077282</v>
      </c>
      <c r="J23" s="360" t="n">
        <f aca="false">J7*$C$22</f>
        <v>31565.7430829601</v>
      </c>
      <c r="K23" s="6"/>
    </row>
    <row r="24" customFormat="false" ht="15" hidden="false" customHeight="true" outlineLevel="0" collapsed="false">
      <c r="B24" s="6"/>
      <c r="K24" s="6"/>
    </row>
    <row r="25" customFormat="false" ht="33.75" hidden="false" customHeight="true" outlineLevel="0" collapsed="false">
      <c r="B25" s="104" t="s">
        <v>5939</v>
      </c>
      <c r="K25" s="6"/>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15" hidden="false" customHeight="true" outlineLevel="0" collapsed="false">
      <c r="B28" s="81" t="s">
        <v>4124</v>
      </c>
      <c r="C28" s="577" t="n">
        <f aca="false">C8-C19-C23</f>
        <v>136293.049024658</v>
      </c>
      <c r="D28" s="577" t="n">
        <f aca="false">D8-D19-D23</f>
        <v>181325.617532664</v>
      </c>
      <c r="E28" s="577" t="n">
        <f aca="false">E8-E19-E23</f>
        <v>228413.357195502</v>
      </c>
      <c r="F28" s="577" t="n">
        <f aca="false">F8-F19-F23</f>
        <v>235342.878309635</v>
      </c>
      <c r="G28" s="577" t="n">
        <f aca="false">G8-G19-G23</f>
        <v>242403.164658924</v>
      </c>
      <c r="H28" s="577" t="n">
        <f aca="false">H8-H19-H23</f>
        <v>272389.282361663</v>
      </c>
      <c r="I28" s="577" t="n">
        <f aca="false">I8-I19-I23</f>
        <v>280603.096603232</v>
      </c>
      <c r="J28" s="577" t="n">
        <f aca="false">J8-J19-J23</f>
        <v>289021.189501329</v>
      </c>
      <c r="K28" s="1383" t="n">
        <f aca="false">SUM(C28:J28)</f>
        <v>1865791.63518761</v>
      </c>
    </row>
    <row r="29" customFormat="false" ht="15" hidden="false" customHeight="true" outlineLevel="0" collapsed="false">
      <c r="B29" s="1382" t="s">
        <v>5940</v>
      </c>
      <c r="C29" s="593" t="n">
        <f aca="false">C28/C8</f>
        <v>0.871274482109627</v>
      </c>
      <c r="D29" s="593" t="n">
        <f aca="false">D28/D8</f>
        <v>0.888514797022995</v>
      </c>
      <c r="E29" s="593" t="n">
        <f aca="false">E28/E8</f>
        <v>0.897699628722633</v>
      </c>
      <c r="F29" s="593" t="n">
        <f aca="false">F28/F8</f>
        <v>0.897993895740096</v>
      </c>
      <c r="G29" s="593" t="n">
        <f aca="false">G28/G8</f>
        <v>0.897993895740096</v>
      </c>
      <c r="H29" s="593" t="n">
        <f aca="false">H28/H8</f>
        <v>0.901325401437139</v>
      </c>
      <c r="I29" s="593" t="n">
        <f aca="false">I28/I8</f>
        <v>0.901460766102078</v>
      </c>
      <c r="J29" s="593" t="n">
        <f aca="false">J28/J8</f>
        <v>0.901460766102078</v>
      </c>
      <c r="K29" s="6"/>
    </row>
    <row r="30" customFormat="false" ht="15" hidden="false" customHeight="true" outlineLevel="0" collapsed="false">
      <c r="B30" s="6"/>
      <c r="K30" s="6"/>
    </row>
    <row r="31" customFormat="false" ht="15" hidden="false" customHeight="true" outlineLevel="0" collapsed="false">
      <c r="B31" s="1164" t="s">
        <v>4126</v>
      </c>
      <c r="C31" s="387" t="n">
        <f aca="false">C28</f>
        <v>136293.049024658</v>
      </c>
      <c r="D31" s="387" t="n">
        <f aca="false">C31+D28</f>
        <v>317618.666557322</v>
      </c>
      <c r="E31" s="387" t="n">
        <f aca="false">D31+E28</f>
        <v>546032.023752824</v>
      </c>
      <c r="F31" s="387" t="n">
        <f aca="false">E31+F28</f>
        <v>781374.902062459</v>
      </c>
      <c r="G31" s="387" t="n">
        <f aca="false">F31+G28</f>
        <v>1023778.06672138</v>
      </c>
      <c r="H31" s="387" t="n">
        <f aca="false">G31+H28</f>
        <v>1296167.34908305</v>
      </c>
      <c r="I31" s="387" t="n">
        <f aca="false">H31+I28</f>
        <v>1576770.44568628</v>
      </c>
      <c r="J31" s="387" t="n">
        <f aca="false">I31+J28</f>
        <v>1865791.63518761</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21.75" hidden="false" customHeight="true" outlineLevel="0" collapsed="false">
      <c r="B35" s="97" t="s">
        <v>206</v>
      </c>
      <c r="C35" s="98" t="s">
        <v>393</v>
      </c>
      <c r="D35" s="98" t="s">
        <v>225</v>
      </c>
      <c r="K35" s="6"/>
    </row>
    <row r="36" customFormat="false" ht="15" hidden="false" customHeight="true" outlineLevel="0" collapsed="false">
      <c r="B36" s="113" t="s">
        <v>4128</v>
      </c>
      <c r="C36" s="544" t="n">
        <f aca="false">C28</f>
        <v>136293.049024658</v>
      </c>
      <c r="D36" s="634" t="s">
        <v>4129</v>
      </c>
      <c r="K36" s="6"/>
    </row>
    <row r="37" customFormat="false" ht="15" hidden="false" customHeight="true" outlineLevel="0" collapsed="false">
      <c r="B37" s="113" t="s">
        <v>4130</v>
      </c>
      <c r="C37" s="544" t="n">
        <f aca="false">F28</f>
        <v>235342.878309635</v>
      </c>
      <c r="D37" s="634" t="s">
        <v>4131</v>
      </c>
      <c r="K37" s="6"/>
    </row>
    <row r="38" customFormat="false" ht="15" hidden="false" customHeight="true" outlineLevel="0" collapsed="false">
      <c r="B38" s="113" t="s">
        <v>4132</v>
      </c>
      <c r="C38" s="544" t="n">
        <f aca="false">K28</f>
        <v>1865791.63518761</v>
      </c>
      <c r="D38" s="634" t="s">
        <v>4133</v>
      </c>
      <c r="K38" s="6"/>
    </row>
    <row r="39" customFormat="false" ht="15" hidden="false" customHeight="true" outlineLevel="0" collapsed="false">
      <c r="B39" s="113" t="s">
        <v>4134</v>
      </c>
      <c r="C39" s="1288" t="n">
        <f aca="false">K28/K8</f>
        <v>0.896556385148913</v>
      </c>
      <c r="D39" s="634" t="s">
        <v>5941</v>
      </c>
      <c r="K39" s="6"/>
    </row>
  </sheetData>
  <mergeCells count="8">
    <mergeCell ref="B2:G2"/>
    <mergeCell ref="H2:K2"/>
    <mergeCell ref="B3:K3"/>
    <mergeCell ref="B6:K6"/>
    <mergeCell ref="B10:K10"/>
    <mergeCell ref="B21:K21"/>
    <mergeCell ref="B27:K27"/>
    <mergeCell ref="B34:K3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7141</v>
      </c>
      <c r="C2" s="878"/>
      <c r="D2" s="878"/>
      <c r="E2" s="878"/>
      <c r="F2" s="878"/>
      <c r="G2" s="89" t="s">
        <v>3432</v>
      </c>
      <c r="H2" s="89"/>
      <c r="I2" s="89"/>
      <c r="J2" s="89"/>
    </row>
    <row r="3" customFormat="false" ht="33.75" hidden="false" customHeight="true" outlineLevel="0" collapsed="false">
      <c r="B3" s="90" t="s">
        <v>7142</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7143</v>
      </c>
      <c r="C5" s="575"/>
      <c r="D5" s="575"/>
      <c r="E5" s="575"/>
      <c r="F5" s="575"/>
      <c r="G5" s="575"/>
      <c r="H5" s="575"/>
    </row>
    <row r="6" customFormat="false" ht="18" hidden="false" customHeight="true" outlineLevel="0" collapsed="false">
      <c r="B6" s="113" t="s">
        <v>7144</v>
      </c>
      <c r="C6" s="1282" t="n">
        <f aca="false">'Museum · Drivers'!C55</f>
        <v>31927.2</v>
      </c>
      <c r="D6" s="565" t="s">
        <v>6998</v>
      </c>
      <c r="E6" s="6"/>
    </row>
    <row r="7" customFormat="false" ht="18" hidden="false" customHeight="true" outlineLevel="0" collapsed="false">
      <c r="B7" s="113" t="s">
        <v>7145</v>
      </c>
      <c r="C7" s="1282" t="n">
        <f aca="false">'Museum · Drivers'!C49</f>
        <v>25500</v>
      </c>
      <c r="D7" s="565" t="s">
        <v>7146</v>
      </c>
      <c r="E7" s="6"/>
    </row>
    <row r="8" customFormat="false" ht="18" hidden="false" customHeight="true" outlineLevel="0" collapsed="false">
      <c r="B8" s="113" t="s">
        <v>7147</v>
      </c>
      <c r="C8" s="1282" t="n">
        <f aca="false">'Museum · Drivers'!C54</f>
        <v>6427.2</v>
      </c>
      <c r="D8" s="565" t="s">
        <v>7148</v>
      </c>
      <c r="E8" s="6"/>
    </row>
    <row r="9" customFormat="false" ht="18" hidden="false" customHeight="true" outlineLevel="0" collapsed="false">
      <c r="B9" s="1076" t="s">
        <v>7149</v>
      </c>
      <c r="C9" s="1439" t="n">
        <f aca="false">'Museum · Revenue'!E24/C6</f>
        <v>15.3121194467413</v>
      </c>
      <c r="D9" s="565" t="s">
        <v>7150</v>
      </c>
      <c r="E9" s="6"/>
    </row>
    <row r="10" customFormat="false" ht="18" hidden="false" customHeight="true" outlineLevel="0" collapsed="false">
      <c r="B10" s="113" t="s">
        <v>7151</v>
      </c>
      <c r="C10" s="1438" t="n">
        <f aca="false">'Museum · Costs'!C24/C6</f>
        <v>7.80012653787366</v>
      </c>
      <c r="D10" s="565" t="s">
        <v>7152</v>
      </c>
      <c r="E10" s="6"/>
    </row>
    <row r="11" customFormat="false" ht="18" hidden="false" customHeight="true" outlineLevel="0" collapsed="false">
      <c r="B11" s="81" t="s">
        <v>7153</v>
      </c>
      <c r="C11" s="1439" t="n">
        <f aca="false">C9-C10</f>
        <v>7.51199290886767</v>
      </c>
      <c r="D11" s="565" t="s">
        <v>7154</v>
      </c>
      <c r="E11" s="6"/>
    </row>
    <row r="12" customFormat="false" ht="15" hidden="false" customHeight="true" outlineLevel="0" collapsed="false">
      <c r="B12" s="6"/>
      <c r="E12" s="6"/>
    </row>
    <row r="13" customFormat="false" ht="21.75" hidden="false" customHeight="true" outlineLevel="0" collapsed="false">
      <c r="B13" s="575" t="s">
        <v>7155</v>
      </c>
      <c r="C13" s="575"/>
      <c r="D13" s="575"/>
      <c r="E13" s="575"/>
      <c r="F13" s="575"/>
      <c r="G13" s="575"/>
      <c r="H13" s="575"/>
    </row>
    <row r="14" customFormat="false" ht="18" hidden="false" customHeight="true" outlineLevel="0" collapsed="false">
      <c r="B14" s="126" t="s">
        <v>7156</v>
      </c>
      <c r="C14" s="1438" t="n">
        <f aca="false">'Museum · Drivers'!C56</f>
        <v>12.025</v>
      </c>
      <c r="D14" s="565" t="s">
        <v>7157</v>
      </c>
      <c r="E14" s="6"/>
    </row>
    <row r="15" customFormat="false" ht="18" hidden="false" customHeight="true" outlineLevel="0" collapsed="false">
      <c r="B15" s="113" t="s">
        <v>7158</v>
      </c>
      <c r="C15" s="1448" t="n">
        <f aca="false">'Museum · Drivers'!C36</f>
        <v>0.25</v>
      </c>
      <c r="D15" s="565" t="s">
        <v>7159</v>
      </c>
      <c r="E15" s="6"/>
    </row>
    <row r="16" customFormat="false" ht="18" hidden="false" customHeight="true" outlineLevel="0" collapsed="false">
      <c r="B16" s="113" t="s">
        <v>7160</v>
      </c>
      <c r="C16" s="406" t="n">
        <f aca="false">'Museum · Drivers'!C37</f>
        <v>4</v>
      </c>
      <c r="D16" s="565" t="s">
        <v>7161</v>
      </c>
      <c r="E16" s="6"/>
    </row>
    <row r="17" customFormat="false" ht="18" hidden="false" customHeight="true" outlineLevel="0" collapsed="false">
      <c r="B17" s="113" t="s">
        <v>7162</v>
      </c>
      <c r="C17" s="1448" t="n">
        <f aca="false">'Museum · Drivers'!C38</f>
        <v>0.25</v>
      </c>
      <c r="D17" s="565" t="s">
        <v>7163</v>
      </c>
      <c r="E17" s="6"/>
    </row>
    <row r="18" customFormat="false" ht="18" hidden="false" customHeight="true" outlineLevel="0" collapsed="false">
      <c r="B18" s="113" t="s">
        <v>7164</v>
      </c>
      <c r="C18" s="406" t="n">
        <f aca="false">'Museum · Drivers'!C39</f>
        <v>14</v>
      </c>
      <c r="D18" s="565" t="s">
        <v>7165</v>
      </c>
      <c r="E18" s="6"/>
    </row>
    <row r="19" customFormat="false" ht="18" hidden="false" customHeight="true" outlineLevel="0" collapsed="false">
      <c r="B19" s="113" t="s">
        <v>7166</v>
      </c>
      <c r="C19" s="1438" t="n">
        <f aca="false">'Museum · Revenue'!E21/C6</f>
        <v>3.5</v>
      </c>
      <c r="D19" s="565" t="s">
        <v>7167</v>
      </c>
      <c r="E19" s="6"/>
    </row>
    <row r="20" customFormat="false" ht="15" hidden="false" customHeight="true" outlineLevel="0" collapsed="false">
      <c r="B20" s="6"/>
      <c r="E20" s="6"/>
    </row>
    <row r="21" customFormat="false" ht="21.75" hidden="false" customHeight="true" outlineLevel="0" collapsed="false">
      <c r="B21" s="96" t="s">
        <v>7168</v>
      </c>
      <c r="C21" s="96"/>
      <c r="D21" s="96"/>
      <c r="E21" s="96"/>
      <c r="F21" s="96"/>
      <c r="G21" s="96"/>
      <c r="H21" s="96"/>
    </row>
    <row r="22" customFormat="false" ht="18" hidden="false" customHeight="true" outlineLevel="0" collapsed="false">
      <c r="B22" s="126" t="s">
        <v>7169</v>
      </c>
      <c r="C22" s="1438" t="n">
        <f aca="false">'Museum · Drivers'!C61/C6</f>
        <v>2.4</v>
      </c>
      <c r="D22" s="565" t="s">
        <v>7170</v>
      </c>
      <c r="E22" s="6"/>
    </row>
    <row r="23" customFormat="false" ht="18" hidden="false" customHeight="true" outlineLevel="0" collapsed="false">
      <c r="B23" s="126" t="s">
        <v>7171</v>
      </c>
      <c r="C23" s="1449" t="n">
        <f aca="false">'Museum · Drivers'!C63/C6*1000</f>
        <v>20</v>
      </c>
      <c r="D23" s="565" t="s">
        <v>7172</v>
      </c>
      <c r="E23" s="6"/>
    </row>
    <row r="24" customFormat="false" ht="15" hidden="false" customHeight="true" outlineLevel="0" collapsed="false">
      <c r="B24" s="6"/>
      <c r="E24" s="6"/>
    </row>
    <row r="25" customFormat="false" ht="21.75" hidden="false" customHeight="true" outlineLevel="0" collapsed="false">
      <c r="B25" s="575" t="s">
        <v>5037</v>
      </c>
      <c r="C25" s="575"/>
      <c r="D25" s="575"/>
      <c r="E25" s="575"/>
      <c r="F25" s="575"/>
      <c r="G25" s="575"/>
      <c r="H25" s="575"/>
    </row>
    <row r="26" customFormat="false" ht="18" hidden="false" customHeight="true" outlineLevel="0" collapsed="false">
      <c r="B26" s="81" t="s">
        <v>5038</v>
      </c>
      <c r="C26" s="1390" t="n">
        <f aca="false">'Museum · Revenue'!E24</f>
        <v>488873.1</v>
      </c>
      <c r="D26" s="565" t="s">
        <v>7173</v>
      </c>
      <c r="E26" s="6"/>
    </row>
    <row r="27" customFormat="false" ht="18" hidden="false" customHeight="true" outlineLevel="0" collapsed="false">
      <c r="B27" s="113" t="s">
        <v>4973</v>
      </c>
      <c r="C27" s="406" t="n">
        <f aca="false">'Museum · Costs'!C24</f>
        <v>249036.2</v>
      </c>
      <c r="D27" s="565" t="s">
        <v>6670</v>
      </c>
      <c r="E27" s="6"/>
    </row>
    <row r="28" customFormat="false" ht="18" hidden="false" customHeight="true" outlineLevel="0" collapsed="false">
      <c r="B28" s="81" t="s">
        <v>7174</v>
      </c>
      <c r="C28" s="1390" t="n">
        <f aca="false">'Museum · Costs'!C37</f>
        <v>239836.9</v>
      </c>
      <c r="D28" s="565" t="s">
        <v>7175</v>
      </c>
      <c r="E28" s="6"/>
    </row>
    <row r="29" customFormat="false" ht="18" hidden="false" customHeight="true" outlineLevel="0" collapsed="false">
      <c r="B29" s="81" t="s">
        <v>4991</v>
      </c>
      <c r="C29" s="1393" t="n">
        <f aca="false">C28/C26</f>
        <v>0.49059132114244</v>
      </c>
      <c r="D29" s="565" t="s">
        <v>7176</v>
      </c>
      <c r="E29" s="6"/>
    </row>
  </sheetData>
  <mergeCells count="7">
    <mergeCell ref="B2:F2"/>
    <mergeCell ref="G2:J2"/>
    <mergeCell ref="B3:J3"/>
    <mergeCell ref="B5:H5"/>
    <mergeCell ref="B13:H13"/>
    <mergeCell ref="B21:H21"/>
    <mergeCell ref="B25:H2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7177</v>
      </c>
      <c r="C3" s="90"/>
      <c r="D3" s="90"/>
      <c r="E3" s="90"/>
      <c r="F3" s="90"/>
      <c r="G3" s="90"/>
      <c r="H3" s="90"/>
      <c r="I3" s="90"/>
      <c r="J3" s="90"/>
    </row>
    <row r="4" customFormat="false" ht="15" hidden="false" customHeight="true" outlineLevel="0" collapsed="false">
      <c r="B4" s="6"/>
      <c r="E4" s="6"/>
    </row>
    <row r="5" customFormat="false" ht="33.75" hidden="false" customHeight="true" outlineLevel="0" collapsed="false">
      <c r="B5" s="96" t="s">
        <v>5050</v>
      </c>
      <c r="C5" s="96"/>
      <c r="D5" s="96"/>
      <c r="E5" s="96"/>
      <c r="F5" s="96"/>
      <c r="G5" s="96"/>
      <c r="H5" s="96"/>
    </row>
    <row r="6" customFormat="false" ht="15" hidden="false" customHeight="true" outlineLevel="0" collapsed="false">
      <c r="B6" s="6"/>
      <c r="E6" s="6"/>
    </row>
    <row r="7" customFormat="false" ht="18" hidden="false" customHeight="true" outlineLevel="0" collapsed="false">
      <c r="B7" s="113" t="s">
        <v>4971</v>
      </c>
      <c r="C7" s="1299" t="n">
        <f aca="false">'Museum · Costs'!C27</f>
        <v>177200</v>
      </c>
      <c r="D7" s="565" t="s">
        <v>7178</v>
      </c>
      <c r="E7" s="6"/>
    </row>
    <row r="8" customFormat="false" ht="18" hidden="false" customHeight="true" outlineLevel="0" collapsed="false">
      <c r="B8" s="113" t="s">
        <v>5052</v>
      </c>
      <c r="C8" s="1300" t="n">
        <f aca="false">'Museum · Costs'!C30</f>
        <v>0.146942427390666</v>
      </c>
      <c r="D8" s="565" t="s">
        <v>7179</v>
      </c>
      <c r="E8" s="6"/>
    </row>
    <row r="9" customFormat="false" ht="18" hidden="false" customHeight="true" outlineLevel="0" collapsed="false">
      <c r="B9" s="113" t="s">
        <v>5054</v>
      </c>
      <c r="C9" s="1300" t="n">
        <f aca="false">1-C8</f>
        <v>0.853057572609334</v>
      </c>
      <c r="D9" s="565" t="s">
        <v>5055</v>
      </c>
      <c r="E9" s="6"/>
    </row>
    <row r="10" customFormat="false" ht="15" hidden="false" customHeight="true" outlineLevel="0" collapsed="false">
      <c r="B10" s="6"/>
      <c r="E10" s="6"/>
    </row>
    <row r="11" customFormat="false" ht="18" hidden="false" customHeight="true" outlineLevel="0" collapsed="false">
      <c r="B11" s="81" t="s">
        <v>5056</v>
      </c>
      <c r="C11" s="406" t="n">
        <f aca="false">C7/C9</f>
        <v>207723.377283881</v>
      </c>
      <c r="D11" s="565" t="s">
        <v>5057</v>
      </c>
      <c r="E11" s="6"/>
    </row>
    <row r="12" customFormat="false" ht="18" hidden="false" customHeight="true" outlineLevel="0" collapsed="false">
      <c r="B12" s="113" t="s">
        <v>5058</v>
      </c>
      <c r="C12" s="1299" t="n">
        <f aca="false">'Museum · Revenue'!E24</f>
        <v>488873.1</v>
      </c>
      <c r="D12" s="565" t="s">
        <v>6657</v>
      </c>
      <c r="E12" s="6"/>
    </row>
    <row r="13" customFormat="false" ht="18" hidden="false" customHeight="true" outlineLevel="0" collapsed="false">
      <c r="B13" s="113" t="s">
        <v>5060</v>
      </c>
      <c r="C13" s="1300" t="n">
        <f aca="false">C12/C11-1</f>
        <v>1.35348137697517</v>
      </c>
      <c r="D13" s="565" t="s">
        <v>6675</v>
      </c>
      <c r="E13" s="6"/>
    </row>
    <row r="14" customFormat="false" ht="15" hidden="false" customHeight="true" outlineLevel="0" collapsed="false">
      <c r="B14" s="6"/>
      <c r="E14" s="6"/>
    </row>
    <row r="15" customFormat="false" ht="21.75" hidden="false" customHeight="true" outlineLevel="0" collapsed="false">
      <c r="B15" s="575" t="s">
        <v>7180</v>
      </c>
      <c r="C15" s="575"/>
      <c r="D15" s="575"/>
      <c r="E15" s="575"/>
      <c r="F15" s="575"/>
      <c r="G15" s="575"/>
      <c r="H15" s="575"/>
    </row>
    <row r="16" customFormat="false" ht="18" hidden="false" customHeight="true" outlineLevel="0" collapsed="false">
      <c r="B16" s="113" t="s">
        <v>7181</v>
      </c>
      <c r="C16" s="1440" t="n">
        <f aca="false">'Museum · Unit Economics'!C9</f>
        <v>15.3121194467413</v>
      </c>
      <c r="D16" s="565" t="s">
        <v>7182</v>
      </c>
      <c r="E16" s="6"/>
    </row>
    <row r="17" customFormat="false" ht="18" hidden="false" customHeight="true" outlineLevel="0" collapsed="false">
      <c r="B17" s="81" t="s">
        <v>7183</v>
      </c>
      <c r="C17" s="1282" t="n">
        <f aca="false">C11/C16</f>
        <v>13565.9454595025</v>
      </c>
      <c r="D17" s="565" t="s">
        <v>7184</v>
      </c>
      <c r="E17" s="6"/>
    </row>
    <row r="18" customFormat="false" ht="18" hidden="false" customHeight="true" outlineLevel="0" collapsed="false">
      <c r="B18" s="81" t="s">
        <v>7185</v>
      </c>
      <c r="C18" s="1282" t="n">
        <f aca="false">C17/'Museum · Drivers'!C29</f>
        <v>45.2198181983417</v>
      </c>
      <c r="D18" s="565" t="s">
        <v>7186</v>
      </c>
      <c r="E18" s="6"/>
    </row>
    <row r="19" customFormat="false" ht="18" hidden="false" customHeight="true" outlineLevel="0" collapsed="false">
      <c r="B19" s="113" t="s">
        <v>7187</v>
      </c>
      <c r="C19" s="1441" t="n">
        <f aca="false">'Museum · Drivers'!C55</f>
        <v>31927.2</v>
      </c>
      <c r="D19" s="565" t="s">
        <v>6657</v>
      </c>
      <c r="E19" s="6"/>
    </row>
    <row r="20" customFormat="false" ht="18" hidden="false" customHeight="true" outlineLevel="0" collapsed="false">
      <c r="B20" s="1076" t="s">
        <v>7188</v>
      </c>
      <c r="C20" s="1282" t="n">
        <f aca="false">C19-C17</f>
        <v>18361.2545404975</v>
      </c>
      <c r="D20" s="565" t="s">
        <v>7189</v>
      </c>
      <c r="E20" s="6"/>
    </row>
    <row r="21" customFormat="false" ht="15" hidden="false" customHeight="true" outlineLevel="0" collapsed="false">
      <c r="B21" s="6"/>
      <c r="E21" s="6"/>
    </row>
    <row r="22" customFormat="false" ht="48.75" hidden="false" customHeight="true" outlineLevel="0" collapsed="false">
      <c r="B22" s="1394" t="s">
        <v>7190</v>
      </c>
      <c r="C22" s="1394"/>
      <c r="D22" s="1394"/>
      <c r="E22" s="6"/>
    </row>
  </sheetData>
  <mergeCells count="6">
    <mergeCell ref="B2:F2"/>
    <mergeCell ref="G2:J2"/>
    <mergeCell ref="B3:J3"/>
    <mergeCell ref="B5:H5"/>
    <mergeCell ref="B15:H15"/>
    <mergeCell ref="B22:D22"/>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M7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6" activePane="bottomRight" state="frozen"/>
      <selection pane="topLeft" activeCell="A1" activeCellId="0" sqref="A1"/>
      <selection pane="topRight" activeCell="B1" activeCellId="0" sqref="B1"/>
      <selection pane="bottomLeft" activeCell="A6" activeCellId="0" sqref="A6"/>
      <selection pane="bottomRight" activeCell="I28" activeCellId="0" sqref="I28"/>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55.5"/>
    <col collapsed="false" customWidth="true" hidden="false" outlineLevel="0" max="3" min="3" style="0" width="18.16"/>
    <col collapsed="false" customWidth="true" hidden="false" outlineLevel="0" max="4" min="4" style="0" width="18.34"/>
    <col collapsed="false" customWidth="true" hidden="false" outlineLevel="0" max="5" min="5" style="0" width="21"/>
    <col collapsed="false" customWidth="true" hidden="false" outlineLevel="0" max="6" min="6" style="0" width="19.16"/>
    <col collapsed="false" customWidth="true" hidden="false" outlineLevel="0" max="13" min="7" style="0" width="13"/>
  </cols>
  <sheetData>
    <row r="1" customFormat="false" ht="3.75" hidden="false" customHeight="true" outlineLevel="0" collapsed="false">
      <c r="B1" s="1"/>
      <c r="C1" s="2"/>
      <c r="D1" s="1"/>
      <c r="E1" s="2"/>
      <c r="F1" s="2"/>
      <c r="G1" s="2"/>
      <c r="H1" s="2"/>
      <c r="I1" s="2"/>
      <c r="J1" s="2"/>
    </row>
    <row r="2" customFormat="false" ht="36" hidden="false" customHeight="true" outlineLevel="0" collapsed="false">
      <c r="B2" s="381" t="s">
        <v>1162</v>
      </c>
      <c r="D2" s="6"/>
    </row>
    <row r="3" customFormat="false" ht="66" hidden="false" customHeight="true" outlineLevel="0" collapsed="false">
      <c r="B3" s="382" t="s">
        <v>1163</v>
      </c>
      <c r="D3" s="6"/>
    </row>
    <row r="4" customFormat="false" ht="51" hidden="false" customHeight="true" outlineLevel="0" collapsed="false">
      <c r="B4" s="383" t="s">
        <v>1164</v>
      </c>
      <c r="D4" s="6"/>
    </row>
    <row r="5" customFormat="false" ht="21.75" hidden="false" customHeight="true" outlineLevel="0" collapsed="false">
      <c r="B5" s="43" t="s">
        <v>1165</v>
      </c>
      <c r="C5" s="43"/>
      <c r="D5" s="43"/>
    </row>
    <row r="6" customFormat="false" ht="24" hidden="false" customHeight="true" outlineLevel="0" collapsed="false">
      <c r="B6" s="113" t="s">
        <v>1166</v>
      </c>
      <c r="C6" s="384" t="s">
        <v>209</v>
      </c>
      <c r="D6" s="128" t="s">
        <v>1167</v>
      </c>
    </row>
    <row r="7" customFormat="false" ht="15" hidden="false" customHeight="true" outlineLevel="0" collapsed="false">
      <c r="B7" s="6"/>
      <c r="D7" s="6"/>
    </row>
    <row r="8" customFormat="false" ht="21.75" hidden="false" customHeight="true" outlineLevel="0" collapsed="false">
      <c r="B8" s="51" t="s">
        <v>1168</v>
      </c>
      <c r="C8" s="51"/>
      <c r="D8" s="51"/>
      <c r="E8" s="51"/>
      <c r="F8" s="51"/>
      <c r="G8" s="51"/>
      <c r="H8" s="51"/>
      <c r="I8" s="51"/>
      <c r="J8" s="51"/>
    </row>
    <row r="9" customFormat="false" ht="21.75" hidden="false" customHeight="true" outlineLevel="0" collapsed="false">
      <c r="B9" s="97" t="s">
        <v>206</v>
      </c>
      <c r="C9" s="98" t="s">
        <v>760</v>
      </c>
      <c r="D9" s="99" t="s">
        <v>908</v>
      </c>
      <c r="E9" s="98" t="s">
        <v>765</v>
      </c>
      <c r="F9" s="98" t="s">
        <v>770</v>
      </c>
      <c r="G9" s="98" t="s">
        <v>909</v>
      </c>
      <c r="H9" s="98" t="s">
        <v>910</v>
      </c>
      <c r="I9" s="98" t="s">
        <v>911</v>
      </c>
      <c r="J9" s="98" t="s">
        <v>912</v>
      </c>
      <c r="K9" s="98" t="s">
        <v>1169</v>
      </c>
      <c r="L9" s="98" t="s">
        <v>1170</v>
      </c>
    </row>
    <row r="10" customFormat="false" ht="15" hidden="false" customHeight="true" outlineLevel="0" collapsed="false">
      <c r="B10" s="113" t="s">
        <v>1171</v>
      </c>
      <c r="C10" s="385" t="n">
        <f aca="false">'Consolidated 8Yr P&amp;L'!C16</f>
        <v>5337617.72</v>
      </c>
      <c r="D10" s="386" t="n">
        <f aca="false">'Consolidated 8Yr P&amp;L'!D16</f>
        <v>6004819.935</v>
      </c>
      <c r="E10" s="385" t="n">
        <f aca="false">'Consolidated 8Yr P&amp;L'!E16</f>
        <v>6672022.15</v>
      </c>
      <c r="F10" s="385" t="n">
        <f aca="false">'Consolidated 8Yr P&amp;L'!F16</f>
        <v>6672022.15</v>
      </c>
      <c r="G10" s="385" t="n">
        <f aca="false">'Consolidated 8Yr P&amp;L'!G16</f>
        <v>7005623.2575</v>
      </c>
      <c r="H10" s="385" t="n">
        <f aca="false">'Consolidated 8Yr P&amp;L'!H16</f>
        <v>7215791.955225</v>
      </c>
      <c r="I10" s="385" t="n">
        <f aca="false">'Consolidated 8Yr P&amp;L'!I16</f>
        <v>7432265.71388175</v>
      </c>
      <c r="J10" s="385" t="n">
        <f aca="false">'Consolidated 8Yr P&amp;L'!J16</f>
        <v>7655233.6852982</v>
      </c>
      <c r="K10" s="387" t="n">
        <f aca="false">'Consolidated 8Yr P&amp;L'!J16</f>
        <v>7655233.6852982</v>
      </c>
      <c r="L10" s="387" t="n">
        <f aca="false">'Consolidated 8Yr P&amp;L'!J16</f>
        <v>7655233.6852982</v>
      </c>
    </row>
    <row r="11" customFormat="false" ht="15" hidden="false" customHeight="true" outlineLevel="0" collapsed="false">
      <c r="B11" s="113" t="s">
        <v>1172</v>
      </c>
      <c r="C11" s="385" t="n">
        <f aca="false">'Consolidated 8Yr P&amp;L'!C30</f>
        <v>2917824.47185325</v>
      </c>
      <c r="D11" s="386" t="n">
        <f aca="false">'Consolidated 8Yr P&amp;L'!D30</f>
        <v>3421642.6797655</v>
      </c>
      <c r="E11" s="385" t="n">
        <f aca="false">'Consolidated 8Yr P&amp;L'!E30</f>
        <v>3920902.53913882</v>
      </c>
      <c r="F11" s="385" t="n">
        <f aca="false">'Consolidated 8Yr P&amp;L'!F30</f>
        <v>3867690.10409299</v>
      </c>
      <c r="G11" s="385" t="n">
        <f aca="false">'Consolidated 8Yr P&amp;L'!G30</f>
        <v>4104479.59362408</v>
      </c>
      <c r="H11" s="385" t="n">
        <f aca="false">'Consolidated 8Yr P&amp;L'!H30</f>
        <v>4193829.50365585</v>
      </c>
      <c r="I11" s="385" t="n">
        <f aca="false">'Consolidated 8Yr P&amp;L'!I30</f>
        <v>4311452.09125139</v>
      </c>
      <c r="J11" s="385" t="n">
        <f aca="false">'Consolidated 8Yr P&amp;L'!J30</f>
        <v>4436173.92556663</v>
      </c>
      <c r="K11" s="387" t="n">
        <f aca="false">'Consolidated 8Yr P&amp;L'!J30</f>
        <v>4436173.92556663</v>
      </c>
      <c r="L11" s="387" t="n">
        <f aca="false">'Consolidated 8Yr P&amp;L'!J30</f>
        <v>4436173.92556663</v>
      </c>
    </row>
    <row r="12" customFormat="false" ht="15" hidden="false" customHeight="true" outlineLevel="0" collapsed="false">
      <c r="B12" s="126" t="s">
        <v>1173</v>
      </c>
      <c r="C12" s="357" t="n">
        <f aca="false">-'Master Cost'!$C$55*UNIVERSAL_DRIVERS!$C$19</f>
        <v>-1409240.5316</v>
      </c>
      <c r="D12" s="388" t="n">
        <f aca="false">-'Master Cost'!$C$55*UNIVERSAL_DRIVERS!$C$20</f>
        <v>-1585395.59805</v>
      </c>
      <c r="E12" s="357" t="n">
        <f aca="false">-'Master Cost'!C55*1</f>
        <v>-1761550.6645</v>
      </c>
      <c r="F12" s="357" t="n">
        <f aca="false">-'Master Cost'!C55*1</f>
        <v>-1761550.6645</v>
      </c>
      <c r="G12" s="357" t="n">
        <f aca="false">-'Master Cost'!C55*1</f>
        <v>-1761550.6645</v>
      </c>
      <c r="H12" s="357" t="n">
        <f aca="false">-'Master Cost'!C55*(1+UNIVERSAL_DRIVERS!$C$8)</f>
        <v>-1814397.184435</v>
      </c>
      <c r="I12" s="357" t="n">
        <f aca="false">-'Master Cost'!C55*(1+UNIVERSAL_DRIVERS!$C$8)^2</f>
        <v>-1868829.09996805</v>
      </c>
      <c r="J12" s="357" t="n">
        <f aca="false">-'Master Cost'!C55*(1+UNIVERSAL_DRIVERS!$C$8)^3</f>
        <v>-1924893.97296709</v>
      </c>
      <c r="K12" s="357" t="n">
        <f aca="false">-'Master Cost'!C55*(1+UNIVERSAL_DRIVERS!$C$8)^4</f>
        <v>-1982640.7921561</v>
      </c>
      <c r="L12" s="357" t="n">
        <f aca="false">-'Master Cost'!C55*(1+UNIVERSAL_DRIVERS!$C$8)^5</f>
        <v>-2042120.01592079</v>
      </c>
    </row>
    <row r="13" customFormat="false" ht="24" hidden="false" customHeight="true" outlineLevel="0" collapsed="false">
      <c r="B13" s="137" t="s">
        <v>1174</v>
      </c>
      <c r="C13" s="329" t="n">
        <f aca="false">C11+C12</f>
        <v>1508583.94025325</v>
      </c>
      <c r="D13" s="389" t="n">
        <f aca="false">D11+D12</f>
        <v>1836247.0817155</v>
      </c>
      <c r="E13" s="329" t="n">
        <f aca="false">E11+E12</f>
        <v>2159351.87463882</v>
      </c>
      <c r="F13" s="329" t="n">
        <f aca="false">F11+F12</f>
        <v>2106139.43959299</v>
      </c>
      <c r="G13" s="329" t="n">
        <f aca="false">G11+G12</f>
        <v>2342928.92912408</v>
      </c>
      <c r="H13" s="329" t="n">
        <f aca="false">H11+H12</f>
        <v>2379432.31922085</v>
      </c>
      <c r="I13" s="329" t="n">
        <f aca="false">I11+I12</f>
        <v>2442622.99128334</v>
      </c>
      <c r="J13" s="329" t="n">
        <f aca="false">J11+J12</f>
        <v>2511279.95259954</v>
      </c>
      <c r="K13" s="329" t="n">
        <f aca="false">K11+K12</f>
        <v>2453533.13341053</v>
      </c>
      <c r="L13" s="329" t="n">
        <f aca="false">L11+L12</f>
        <v>2394053.90964585</v>
      </c>
    </row>
    <row r="14" customFormat="false" ht="15" hidden="false" customHeight="true" outlineLevel="0" collapsed="false">
      <c r="B14" s="6"/>
      <c r="D14" s="6"/>
    </row>
    <row r="15" customFormat="false" ht="51" hidden="false" customHeight="true" outlineLevel="0" collapsed="false">
      <c r="B15" s="51" t="s">
        <v>1175</v>
      </c>
      <c r="C15" s="51"/>
      <c r="D15" s="51"/>
      <c r="E15" s="51"/>
      <c r="F15" s="51"/>
      <c r="G15" s="51"/>
      <c r="H15" s="51"/>
      <c r="I15" s="51"/>
      <c r="J15" s="51"/>
    </row>
    <row r="16" customFormat="false" ht="36" hidden="false" customHeight="true" outlineLevel="0" collapsed="false">
      <c r="B16" s="85" t="s">
        <v>1176</v>
      </c>
      <c r="C16" s="85"/>
      <c r="D16" s="85"/>
      <c r="E16" s="85"/>
      <c r="F16" s="85"/>
      <c r="G16" s="85"/>
      <c r="H16" s="85"/>
      <c r="I16" s="85"/>
      <c r="J16" s="85"/>
    </row>
    <row r="17" customFormat="false" ht="21.75" hidden="false" customHeight="true" outlineLevel="0" collapsed="false">
      <c r="B17" s="6"/>
      <c r="C17" s="98" t="s">
        <v>1177</v>
      </c>
      <c r="D17" s="99" t="s">
        <v>203</v>
      </c>
      <c r="E17" s="98" t="s">
        <v>1178</v>
      </c>
    </row>
    <row r="18" customFormat="false" ht="15" hidden="false" customHeight="true" outlineLevel="0" collapsed="false">
      <c r="B18" s="113" t="s">
        <v>1179</v>
      </c>
      <c r="C18" s="390" t="n">
        <v>6</v>
      </c>
      <c r="D18" s="391" t="n">
        <v>8</v>
      </c>
      <c r="E18" s="390" t="n">
        <v>10</v>
      </c>
    </row>
    <row r="19" customFormat="false" ht="15" hidden="false" customHeight="true" outlineLevel="0" collapsed="false">
      <c r="B19" s="113" t="s">
        <v>1180</v>
      </c>
      <c r="C19" s="390" t="n">
        <v>2</v>
      </c>
      <c r="D19" s="391" t="n">
        <v>3</v>
      </c>
      <c r="E19" s="390" t="n">
        <v>4</v>
      </c>
    </row>
    <row r="20" customFormat="false" ht="15" hidden="false" customHeight="true" outlineLevel="0" collapsed="false">
      <c r="B20" s="6"/>
      <c r="D20" s="6"/>
    </row>
    <row r="21" customFormat="false" ht="15" hidden="false" customHeight="true" outlineLevel="0" collapsed="false">
      <c r="B21" s="392" t="s">
        <v>1181</v>
      </c>
      <c r="D21" s="6"/>
    </row>
    <row r="22" customFormat="false" ht="15" hidden="false" customHeight="true" outlineLevel="0" collapsed="false">
      <c r="B22" s="113" t="s">
        <v>1182</v>
      </c>
      <c r="C22" s="387" t="n">
        <f aca="false">G13</f>
        <v>2342928.92912408</v>
      </c>
      <c r="D22" s="6"/>
    </row>
    <row r="23" customFormat="false" ht="15" hidden="false" customHeight="true" outlineLevel="0" collapsed="false">
      <c r="B23" s="113" t="s">
        <v>1183</v>
      </c>
      <c r="C23" s="387" t="n">
        <f aca="false">G10</f>
        <v>7005623.2575</v>
      </c>
      <c r="D23" s="6"/>
    </row>
    <row r="24" customFormat="false" ht="25.5" hidden="false" customHeight="true" outlineLevel="0" collapsed="false">
      <c r="B24" s="81" t="s">
        <v>1184</v>
      </c>
      <c r="C24" s="393" t="n">
        <f aca="false">IF($C$6="EBITDA",$C$22*C$18,$C$23*C$19)</f>
        <v>14057573.5747445</v>
      </c>
      <c r="D24" s="394" t="n">
        <f aca="false">IF($C$6="EBITDA",$C$22*D$18,$C$23*D$19)</f>
        <v>18743431.4329927</v>
      </c>
      <c r="E24" s="393" t="n">
        <f aca="false">IF($C$6="EBITDA",$C$22*E$18,$C$23*E$19)</f>
        <v>23429289.2912408</v>
      </c>
    </row>
    <row r="25" customFormat="false" ht="15" hidden="false" customHeight="true" outlineLevel="0" collapsed="false">
      <c r="B25" s="6"/>
      <c r="D25" s="6"/>
    </row>
    <row r="26" customFormat="false" ht="15" hidden="false" customHeight="true" outlineLevel="0" collapsed="false">
      <c r="B26" s="44" t="s">
        <v>1185</v>
      </c>
      <c r="D26" s="6"/>
    </row>
    <row r="27" customFormat="false" ht="15" hidden="false" customHeight="true" outlineLevel="0" collapsed="false">
      <c r="B27" s="113" t="s">
        <v>1186</v>
      </c>
      <c r="C27" s="387" t="n">
        <f aca="false">I13</f>
        <v>2442622.99128334</v>
      </c>
      <c r="D27" s="6"/>
    </row>
    <row r="28" customFormat="false" ht="15" hidden="false" customHeight="true" outlineLevel="0" collapsed="false">
      <c r="B28" s="113" t="s">
        <v>1187</v>
      </c>
      <c r="C28" s="387" t="n">
        <f aca="false">I10</f>
        <v>7432265.71388175</v>
      </c>
      <c r="D28" s="6"/>
    </row>
    <row r="29" customFormat="false" ht="25.5" hidden="false" customHeight="true" outlineLevel="0" collapsed="false">
      <c r="B29" s="81" t="s">
        <v>1184</v>
      </c>
      <c r="C29" s="393" t="n">
        <f aca="false">IF($C$6="EBITDA",$C$27*C$18,$C$28*C$19)</f>
        <v>14655737.9477001</v>
      </c>
      <c r="D29" s="394" t="n">
        <f aca="false">IF($C$6="EBITDA",$C$27*D$18,$C$28*D$19)</f>
        <v>19540983.9302668</v>
      </c>
      <c r="E29" s="393" t="n">
        <f aca="false">IF($C$6="EBITDA",$C$27*E$18,$C$28*E$19)</f>
        <v>24426229.9128334</v>
      </c>
    </row>
    <row r="30" customFormat="false" ht="15" hidden="false" customHeight="true" outlineLevel="0" collapsed="false">
      <c r="B30" s="6"/>
      <c r="D30" s="6"/>
    </row>
    <row r="31" customFormat="false" ht="15" hidden="false" customHeight="true" outlineLevel="0" collapsed="false">
      <c r="B31" s="392" t="s">
        <v>1188</v>
      </c>
      <c r="D31" s="6"/>
    </row>
    <row r="32" customFormat="false" ht="15" hidden="false" customHeight="true" outlineLevel="0" collapsed="false">
      <c r="B32" s="113" t="s">
        <v>1189</v>
      </c>
      <c r="C32" s="387" t="n">
        <f aca="false">L13</f>
        <v>2394053.90964585</v>
      </c>
      <c r="D32" s="6"/>
    </row>
    <row r="33" customFormat="false" ht="15" hidden="false" customHeight="true" outlineLevel="0" collapsed="false">
      <c r="B33" s="113" t="s">
        <v>1190</v>
      </c>
      <c r="C33" s="387" t="n">
        <f aca="false">L10</f>
        <v>7655233.6852982</v>
      </c>
      <c r="D33" s="6"/>
    </row>
    <row r="34" customFormat="false" ht="25.5" hidden="false" customHeight="true" outlineLevel="0" collapsed="false">
      <c r="B34" s="81" t="s">
        <v>1184</v>
      </c>
      <c r="C34" s="393" t="n">
        <f aca="false">IF($C$6="EBITDA",$C$32*C$18,$C$33*C$19)</f>
        <v>14364323.4578751</v>
      </c>
      <c r="D34" s="394" t="n">
        <f aca="false">IF($C$6="EBITDA",$C$32*D$18,$C$33*D$19)</f>
        <v>19152431.2771668</v>
      </c>
      <c r="E34" s="393" t="n">
        <f aca="false">IF($C$6="EBITDA",$C$32*E$18,$C$33*E$19)</f>
        <v>23940539.0964585</v>
      </c>
    </row>
    <row r="35" customFormat="false" ht="15" hidden="false" customHeight="true" outlineLevel="0" collapsed="false">
      <c r="B35" s="6"/>
      <c r="D35" s="6"/>
    </row>
    <row r="36" customFormat="false" ht="21.75" hidden="false" customHeight="true" outlineLevel="0" collapsed="false">
      <c r="B36" s="51" t="s">
        <v>1191</v>
      </c>
      <c r="C36" s="51"/>
      <c r="D36" s="51"/>
      <c r="E36" s="51"/>
      <c r="F36" s="51"/>
      <c r="G36" s="51"/>
      <c r="H36" s="51"/>
      <c r="I36" s="51"/>
      <c r="J36" s="51"/>
    </row>
    <row r="37" customFormat="false" ht="15" hidden="false" customHeight="true" outlineLevel="0" collapsed="false">
      <c r="B37" s="113" t="s">
        <v>1192</v>
      </c>
      <c r="C37" s="395" t="n">
        <f aca="false">CapEx!D70</f>
        <v>7820000</v>
      </c>
      <c r="D37" s="396" t="s">
        <v>1193</v>
      </c>
    </row>
    <row r="38" customFormat="false" ht="36" hidden="false" customHeight="true" outlineLevel="0" collapsed="false">
      <c r="B38" s="113" t="s">
        <v>241</v>
      </c>
      <c r="C38" s="397" t="n">
        <f aca="false">MASTER_ASSUMPTIONS!C15</f>
        <v>0.449999994245524</v>
      </c>
      <c r="D38" s="128" t="str">
        <f aca="false">"⊙ "&amp;TEXT(MASTER_ASSUMPTIONS!C15,"0.0%")&amp;" Round 1 (live link to MASTER_ASSUMPTIONS C15)"</f>
        <v>⊙ 45.0% Round 1 (live link to MASTER_ASSUMPTIONS C15)</v>
      </c>
    </row>
    <row r="39" customFormat="false" ht="15" hidden="false" customHeight="true" outlineLevel="0" collapsed="false">
      <c r="B39" s="126" t="s">
        <v>1194</v>
      </c>
      <c r="C39" s="398" t="n">
        <v>0.4</v>
      </c>
      <c r="D39" s="128" t="s">
        <v>1195</v>
      </c>
    </row>
    <row r="40" customFormat="false" ht="15" hidden="false" customHeight="true" outlineLevel="0" collapsed="false">
      <c r="B40" s="126" t="s">
        <v>1196</v>
      </c>
      <c r="C40" s="399" t="n">
        <v>2</v>
      </c>
      <c r="D40" s="128" t="s">
        <v>1197</v>
      </c>
    </row>
    <row r="41" customFormat="false" ht="15" hidden="false" customHeight="true" outlineLevel="0" collapsed="false">
      <c r="B41" s="6"/>
      <c r="D41" s="6"/>
    </row>
    <row r="42" customFormat="false" ht="21.75" hidden="false" customHeight="true" outlineLevel="0" collapsed="false">
      <c r="B42" s="51" t="s">
        <v>1198</v>
      </c>
      <c r="C42" s="51"/>
      <c r="D42" s="51"/>
      <c r="E42" s="51"/>
      <c r="F42" s="51"/>
      <c r="G42" s="51"/>
      <c r="H42" s="51"/>
      <c r="I42" s="51"/>
      <c r="J42" s="51"/>
      <c r="K42" s="51"/>
      <c r="L42" s="51"/>
    </row>
    <row r="43" customFormat="false" ht="21.75" hidden="false" customHeight="true" outlineLevel="0" collapsed="false">
      <c r="B43" s="97" t="s">
        <v>1199</v>
      </c>
      <c r="C43" s="98" t="s">
        <v>756</v>
      </c>
      <c r="D43" s="99" t="s">
        <v>760</v>
      </c>
      <c r="E43" s="98" t="s">
        <v>908</v>
      </c>
      <c r="F43" s="98" t="s">
        <v>765</v>
      </c>
      <c r="G43" s="98" t="s">
        <v>770</v>
      </c>
      <c r="H43" s="98" t="s">
        <v>909</v>
      </c>
      <c r="I43" s="98" t="s">
        <v>910</v>
      </c>
      <c r="J43" s="98" t="s">
        <v>911</v>
      </c>
      <c r="K43" s="98" t="s">
        <v>912</v>
      </c>
      <c r="L43" s="98" t="s">
        <v>1200</v>
      </c>
      <c r="M43" s="98" t="s">
        <v>1201</v>
      </c>
    </row>
    <row r="44" customFormat="false" ht="15" hidden="false" customHeight="true" outlineLevel="0" collapsed="false">
      <c r="B44" s="113" t="s">
        <v>1202</v>
      </c>
      <c r="C44" s="361" t="n">
        <f aca="false">-C37</f>
        <v>-7820000</v>
      </c>
      <c r="D44" s="400" t="n">
        <v>0</v>
      </c>
      <c r="E44" s="401" t="n">
        <v>0</v>
      </c>
      <c r="F44" s="401" t="n">
        <v>0</v>
      </c>
      <c r="G44" s="401" t="n">
        <v>0</v>
      </c>
      <c r="H44" s="401" t="n">
        <v>0</v>
      </c>
      <c r="I44" s="401" t="n">
        <v>0</v>
      </c>
      <c r="J44" s="401" t="n">
        <v>0</v>
      </c>
      <c r="K44" s="401" t="n">
        <v>0</v>
      </c>
      <c r="L44" s="401" t="n">
        <v>0</v>
      </c>
      <c r="M44" s="401" t="n">
        <v>0</v>
      </c>
    </row>
    <row r="45" customFormat="false" ht="15" hidden="false" customHeight="true" outlineLevel="0" collapsed="false">
      <c r="B45" s="113" t="s">
        <v>1203</v>
      </c>
      <c r="C45" s="0" t="n">
        <v>0</v>
      </c>
      <c r="D45" s="6" t="n">
        <v>0</v>
      </c>
      <c r="E45" s="402" t="n">
        <f aca="false">IF(2&gt;=$C$40,D13*$C$39*$C$38,0)</f>
        <v>330524.470482134</v>
      </c>
      <c r="F45" s="402" t="n">
        <f aca="false">IF(3&gt;=$C$40,E13*$C$39*$C$38,0)</f>
        <v>388683.332464613</v>
      </c>
      <c r="G45" s="402" t="n">
        <f aca="false">IF(4&gt;=$C$40,F13*$C$39*$C$38,0)</f>
        <v>379105.094278847</v>
      </c>
      <c r="H45" s="402" t="n">
        <f aca="false">IF(5&gt;=$C$40,G13*$C$39*$C$38,0)</f>
        <v>421727.201849404</v>
      </c>
      <c r="I45" s="402" t="n">
        <f aca="false">IF(6&gt;=$C$40,H13*$C$39*$C$38,0)</f>
        <v>428297.811982799</v>
      </c>
      <c r="J45" s="402" t="n">
        <f aca="false">IF(7&gt;=$C$40,I13*$C$39*$C$38,0)</f>
        <v>439672.132808596</v>
      </c>
      <c r="K45" s="402" t="n">
        <f aca="false">IF(8&gt;=$C$40,J13*$C$39*$C$38,0)</f>
        <v>452030.385687478</v>
      </c>
      <c r="L45" s="402" t="n">
        <f aca="false">IF(9&gt;=$C$40,K13*$C$39*$C$38,0)</f>
        <v>441635.958366376</v>
      </c>
      <c r="M45" s="402" t="n">
        <f aca="false">IF(10&gt;=$C$40,L13*$C$39*$C$38,0)</f>
        <v>430929.698225642</v>
      </c>
    </row>
    <row r="46" customFormat="false" ht="15" hidden="false" customHeight="true" outlineLevel="0" collapsed="false">
      <c r="B46" s="126" t="s">
        <v>1204</v>
      </c>
      <c r="C46" s="401" t="n">
        <v>0</v>
      </c>
      <c r="D46" s="400" t="n">
        <v>0</v>
      </c>
      <c r="E46" s="401" t="n">
        <v>0</v>
      </c>
      <c r="F46" s="401" t="n">
        <v>0</v>
      </c>
      <c r="G46" s="401" t="n">
        <v>0</v>
      </c>
      <c r="H46" s="402" t="n">
        <f aca="false">D24*$C$38</f>
        <v>8434544.03698807</v>
      </c>
      <c r="I46" s="401" t="n">
        <v>0</v>
      </c>
      <c r="J46" s="401" t="n">
        <v>0</v>
      </c>
      <c r="K46" s="401" t="n">
        <v>0</v>
      </c>
      <c r="L46" s="401" t="n">
        <v>0</v>
      </c>
      <c r="M46" s="401" t="n">
        <v>0</v>
      </c>
    </row>
    <row r="47" customFormat="false" ht="15" hidden="false" customHeight="true" outlineLevel="0" collapsed="false">
      <c r="B47" s="126" t="s">
        <v>1205</v>
      </c>
      <c r="C47" s="401" t="n">
        <v>0</v>
      </c>
      <c r="D47" s="400" t="n">
        <v>0</v>
      </c>
      <c r="E47" s="401" t="n">
        <v>0</v>
      </c>
      <c r="F47" s="401" t="n">
        <v>0</v>
      </c>
      <c r="G47" s="401" t="n">
        <v>0</v>
      </c>
      <c r="H47" s="401" t="n">
        <v>0</v>
      </c>
      <c r="I47" s="401" t="n">
        <v>0</v>
      </c>
      <c r="J47" s="402" t="n">
        <f aca="false">D29*$C$38</f>
        <v>8793442.65617192</v>
      </c>
      <c r="K47" s="401" t="n">
        <v>0</v>
      </c>
      <c r="L47" s="401" t="n">
        <v>0</v>
      </c>
      <c r="M47" s="401" t="n">
        <v>0</v>
      </c>
    </row>
    <row r="48" customFormat="false" ht="15" hidden="false" customHeight="true" outlineLevel="0" collapsed="false">
      <c r="B48" s="126" t="s">
        <v>1206</v>
      </c>
      <c r="C48" s="401" t="n">
        <v>0</v>
      </c>
      <c r="D48" s="400" t="n">
        <v>0</v>
      </c>
      <c r="E48" s="401" t="n">
        <v>0</v>
      </c>
      <c r="F48" s="401" t="n">
        <v>0</v>
      </c>
      <c r="G48" s="401" t="n">
        <v>0</v>
      </c>
      <c r="H48" s="401" t="n">
        <v>0</v>
      </c>
      <c r="I48" s="401" t="n">
        <v>0</v>
      </c>
      <c r="J48" s="401" t="n">
        <v>0</v>
      </c>
      <c r="K48" s="401" t="n">
        <v>0</v>
      </c>
      <c r="L48" s="401" t="n">
        <v>0</v>
      </c>
      <c r="M48" s="402" t="n">
        <f aca="false">D34*$C$38</f>
        <v>8618593.96451284</v>
      </c>
    </row>
    <row r="49" customFormat="false" ht="15" hidden="false" customHeight="true" outlineLevel="0" collapsed="false">
      <c r="B49" s="6"/>
      <c r="D49" s="6"/>
    </row>
    <row r="50" customFormat="false" ht="36" hidden="false" customHeight="true" outlineLevel="0" collapsed="false">
      <c r="B50" s="51" t="s">
        <v>1207</v>
      </c>
      <c r="C50" s="51"/>
      <c r="D50" s="51"/>
      <c r="E50" s="51"/>
      <c r="F50" s="51"/>
      <c r="G50" s="51"/>
      <c r="H50" s="51"/>
      <c r="I50" s="51"/>
      <c r="J50" s="51"/>
      <c r="K50" s="51"/>
      <c r="L50" s="51"/>
      <c r="M50" s="51"/>
    </row>
    <row r="51" customFormat="false" ht="21.75" hidden="false" customHeight="true" outlineLevel="0" collapsed="false">
      <c r="B51" s="97" t="s">
        <v>738</v>
      </c>
      <c r="C51" s="98" t="s">
        <v>1208</v>
      </c>
      <c r="D51" s="99" t="s">
        <v>1209</v>
      </c>
      <c r="E51" s="98" t="str">
        <f aca="false">"Investor Share @ "&amp;TEXT(MASTER_ASSUMPTIONS!C15,"0.0%")</f>
        <v>Investor Share @ 45.0%</v>
      </c>
      <c r="F51" s="98" t="s">
        <v>1210</v>
      </c>
      <c r="G51" s="98" t="s">
        <v>1211</v>
      </c>
      <c r="H51" s="98" t="s">
        <v>720</v>
      </c>
      <c r="I51" s="98" t="s">
        <v>1212</v>
      </c>
    </row>
    <row r="52" customFormat="false" ht="24" hidden="false" customHeight="true" outlineLevel="0" collapsed="false">
      <c r="B52" s="113" t="s">
        <v>1213</v>
      </c>
      <c r="C52" s="403" t="n">
        <v>5</v>
      </c>
      <c r="D52" s="404" t="n">
        <f aca="false">D24</f>
        <v>18743431.4329927</v>
      </c>
      <c r="E52" s="405" t="n">
        <f aca="false">D52*$C$38</f>
        <v>8434544.03698807</v>
      </c>
      <c r="F52" s="405" t="n">
        <f aca="false">SUM(E45:H45)</f>
        <v>1520040.099075</v>
      </c>
      <c r="G52" s="406" t="n">
        <f aca="false">E52+F52</f>
        <v>9954584.13606307</v>
      </c>
      <c r="H52" s="407" t="n">
        <f aca="false">G52/$C$37</f>
        <v>1.27296472328172</v>
      </c>
      <c r="I52" s="408" t="n">
        <f aca="false">IRR(C57:H57)</f>
        <v>0.0518710933785142</v>
      </c>
    </row>
    <row r="53" customFormat="false" ht="24" hidden="false" customHeight="true" outlineLevel="0" collapsed="false">
      <c r="B53" s="113" t="s">
        <v>1214</v>
      </c>
      <c r="C53" s="403" t="n">
        <v>7</v>
      </c>
      <c r="D53" s="404" t="n">
        <f aca="false">D29</f>
        <v>19540983.9302668</v>
      </c>
      <c r="E53" s="405" t="n">
        <f aca="false">D53*$C$38</f>
        <v>8793442.65617192</v>
      </c>
      <c r="F53" s="405" t="n">
        <f aca="false">SUM(E45:J45)</f>
        <v>2388010.04386639</v>
      </c>
      <c r="G53" s="406" t="n">
        <f aca="false">E53+F53</f>
        <v>11181452.7000383</v>
      </c>
      <c r="H53" s="407" t="n">
        <f aca="false">G53/$C$37</f>
        <v>1.42985328644991</v>
      </c>
      <c r="I53" s="408" t="n">
        <f aca="false">IRR(C58:J58)</f>
        <v>0.0569792959174404</v>
      </c>
    </row>
    <row r="54" customFormat="false" ht="24" hidden="false" customHeight="true" outlineLevel="0" collapsed="false">
      <c r="B54" s="113" t="s">
        <v>1215</v>
      </c>
      <c r="C54" s="403" t="n">
        <v>10</v>
      </c>
      <c r="D54" s="404" t="n">
        <f aca="false">D34</f>
        <v>19152431.2771668</v>
      </c>
      <c r="E54" s="405" t="n">
        <f aca="false">D54*$C$38</f>
        <v>8618593.96451284</v>
      </c>
      <c r="F54" s="405" t="n">
        <f aca="false">SUM(E45:M45)</f>
        <v>3712606.08614589</v>
      </c>
      <c r="G54" s="406" t="n">
        <f aca="false">E54+F54</f>
        <v>12331200.0506587</v>
      </c>
      <c r="H54" s="407" t="n">
        <f aca="false">G54/$C$37</f>
        <v>1.57687980187452</v>
      </c>
      <c r="I54" s="408" t="n">
        <f aca="false">IRR(C59:M59)</f>
        <v>0.0536496012478649</v>
      </c>
    </row>
    <row r="55" customFormat="false" ht="15" hidden="false" customHeight="true" outlineLevel="0" collapsed="false">
      <c r="B55" s="6"/>
      <c r="D55" s="6"/>
    </row>
    <row r="56" customFormat="false" ht="36" hidden="false" customHeight="true" outlineLevel="0" collapsed="false">
      <c r="B56" s="85" t="s">
        <v>1216</v>
      </c>
      <c r="C56" s="85"/>
      <c r="D56" s="85"/>
      <c r="E56" s="85"/>
      <c r="F56" s="85"/>
      <c r="G56" s="85"/>
      <c r="H56" s="85"/>
      <c r="I56" s="85"/>
      <c r="J56" s="85"/>
      <c r="K56" s="85"/>
      <c r="L56" s="85"/>
      <c r="M56" s="85"/>
    </row>
    <row r="57" customFormat="false" ht="15" hidden="false" customHeight="true" outlineLevel="0" collapsed="false">
      <c r="B57" s="128" t="s">
        <v>1217</v>
      </c>
      <c r="C57" s="409" t="n">
        <f aca="false">C44</f>
        <v>-7820000</v>
      </c>
      <c r="D57" s="410" t="n">
        <f aca="false">D45</f>
        <v>0</v>
      </c>
      <c r="E57" s="409" t="n">
        <f aca="false">E45</f>
        <v>330524.470482134</v>
      </c>
      <c r="F57" s="409" t="n">
        <f aca="false">F45</f>
        <v>388683.332464613</v>
      </c>
      <c r="G57" s="409" t="n">
        <f aca="false">G45</f>
        <v>379105.094278847</v>
      </c>
      <c r="H57" s="409" t="n">
        <f aca="false">H45+H46</f>
        <v>8856271.23883748</v>
      </c>
    </row>
    <row r="58" customFormat="false" ht="15" hidden="false" customHeight="true" outlineLevel="0" collapsed="false">
      <c r="B58" s="128" t="s">
        <v>1218</v>
      </c>
      <c r="C58" s="409" t="n">
        <f aca="false">C44</f>
        <v>-7820000</v>
      </c>
      <c r="D58" s="410" t="n">
        <f aca="false">D45</f>
        <v>0</v>
      </c>
      <c r="E58" s="409" t="n">
        <f aca="false">E45</f>
        <v>330524.470482134</v>
      </c>
      <c r="F58" s="409" t="n">
        <f aca="false">F45</f>
        <v>388683.332464613</v>
      </c>
      <c r="G58" s="409" t="n">
        <f aca="false">G45</f>
        <v>379105.094278847</v>
      </c>
      <c r="H58" s="409" t="n">
        <f aca="false">H45</f>
        <v>421727.201849404</v>
      </c>
      <c r="I58" s="409" t="n">
        <f aca="false">I45</f>
        <v>428297.811982799</v>
      </c>
      <c r="J58" s="409" t="n">
        <f aca="false">J45+J47</f>
        <v>9233114.78898052</v>
      </c>
    </row>
    <row r="59" customFormat="false" ht="15" hidden="false" customHeight="true" outlineLevel="0" collapsed="false">
      <c r="B59" s="128" t="s">
        <v>1219</v>
      </c>
      <c r="C59" s="409" t="n">
        <f aca="false">C44</f>
        <v>-7820000</v>
      </c>
      <c r="D59" s="410" t="n">
        <f aca="false">D45</f>
        <v>0</v>
      </c>
      <c r="E59" s="409" t="n">
        <f aca="false">E45</f>
        <v>330524.470482134</v>
      </c>
      <c r="F59" s="409" t="n">
        <f aca="false">F45</f>
        <v>388683.332464613</v>
      </c>
      <c r="G59" s="409" t="n">
        <f aca="false">G45</f>
        <v>379105.094278847</v>
      </c>
      <c r="H59" s="409" t="n">
        <f aca="false">H45</f>
        <v>421727.201849404</v>
      </c>
      <c r="I59" s="409" t="n">
        <f aca="false">I45</f>
        <v>428297.811982799</v>
      </c>
      <c r="J59" s="409" t="n">
        <f aca="false">J45</f>
        <v>439672.132808596</v>
      </c>
      <c r="K59" s="409" t="n">
        <f aca="false">K45</f>
        <v>452030.385687478</v>
      </c>
      <c r="L59" s="409" t="n">
        <f aca="false">L45</f>
        <v>441635.958366376</v>
      </c>
      <c r="M59" s="409" t="n">
        <f aca="false">M45+M48</f>
        <v>9049523.66273849</v>
      </c>
    </row>
    <row r="60" customFormat="false" ht="15" hidden="false" customHeight="true" outlineLevel="0" collapsed="false">
      <c r="B60" s="6"/>
      <c r="D60" s="6"/>
    </row>
    <row r="61" customFormat="false" ht="36" hidden="false" customHeight="true" outlineLevel="0" collapsed="false">
      <c r="B61" s="51" t="s">
        <v>1220</v>
      </c>
      <c r="C61" s="51"/>
      <c r="D61" s="51"/>
      <c r="E61" s="51"/>
      <c r="F61" s="51"/>
      <c r="G61" s="51"/>
      <c r="H61" s="51"/>
      <c r="I61" s="51"/>
      <c r="J61" s="51"/>
      <c r="K61" s="51"/>
      <c r="L61" s="51"/>
      <c r="M61" s="51"/>
    </row>
    <row r="62" customFormat="false" ht="36" hidden="false" customHeight="true" outlineLevel="0" collapsed="false">
      <c r="B62" s="97" t="s">
        <v>1208</v>
      </c>
      <c r="C62" s="411" t="s">
        <v>1221</v>
      </c>
      <c r="D62" s="99" t="s">
        <v>1222</v>
      </c>
      <c r="E62" s="411" t="s">
        <v>1223</v>
      </c>
    </row>
    <row r="63" customFormat="false" ht="25.5" hidden="false" customHeight="true" outlineLevel="0" collapsed="false">
      <c r="B63" s="113" t="s">
        <v>1224</v>
      </c>
      <c r="C63" s="412" t="n">
        <f aca="false">(SUM(E45:H45)+C24*$C$38)/$C$37</f>
        <v>1.00331817478466</v>
      </c>
      <c r="D63" s="413" t="n">
        <f aca="false">(SUM(E45:H45)+D24*$C$38)/$C$37</f>
        <v>1.27296472328172</v>
      </c>
      <c r="E63" s="412" t="n">
        <f aca="false">(SUM(E45:H45)+E24*$C$38)/$C$37</f>
        <v>1.54261127177878</v>
      </c>
    </row>
    <row r="64" customFormat="false" ht="25.5" hidden="false" customHeight="true" outlineLevel="0" collapsed="false">
      <c r="B64" s="113" t="s">
        <v>1225</v>
      </c>
      <c r="C64" s="412" t="n">
        <f aca="false">(SUM(E45:J45)+C29*$C$38)/$C$37</f>
        <v>1.14873299693035</v>
      </c>
      <c r="D64" s="413" t="n">
        <f aca="false">(SUM(E45:J45)+D29*$C$38)/$C$37</f>
        <v>1.42985328644991</v>
      </c>
      <c r="E64" s="412" t="n">
        <f aca="false">(SUM(E45:J45)+E29*$C$38)/$C$37</f>
        <v>1.71097357596948</v>
      </c>
    </row>
    <row r="65" customFormat="false" ht="25.5" hidden="false" customHeight="true" outlineLevel="0" collapsed="false">
      <c r="B65" s="113" t="s">
        <v>1226</v>
      </c>
      <c r="C65" s="412" t="n">
        <f aca="false">(SUM(E45:M45)+C34*$C$38)/$C$37</f>
        <v>1.30134930428779</v>
      </c>
      <c r="D65" s="413" t="n">
        <f aca="false">(SUM(E45:M45)+D34*$C$38)/$C$37</f>
        <v>1.57687980187452</v>
      </c>
      <c r="E65" s="412" t="n">
        <f aca="false">(SUM(E45:M45)+E34*$C$38)/$C$37</f>
        <v>1.85241029946125</v>
      </c>
    </row>
    <row r="66" customFormat="false" ht="15" hidden="false" customHeight="true" outlineLevel="0" collapsed="false">
      <c r="B66" s="6"/>
      <c r="D66" s="6"/>
    </row>
    <row r="67" customFormat="false" ht="15" hidden="false" customHeight="true" outlineLevel="0" collapsed="false">
      <c r="B67" s="6"/>
      <c r="D67" s="6"/>
    </row>
    <row r="68" customFormat="false" ht="21.75" hidden="false" customHeight="true" outlineLevel="0" collapsed="false">
      <c r="B68" s="43" t="s">
        <v>1227</v>
      </c>
      <c r="C68" s="43"/>
      <c r="D68" s="43"/>
      <c r="E68" s="43"/>
      <c r="F68" s="43"/>
      <c r="G68" s="43"/>
      <c r="H68" s="43"/>
      <c r="I68" s="43"/>
      <c r="J68" s="43"/>
      <c r="K68" s="43"/>
      <c r="L68" s="43"/>
      <c r="M68" s="43"/>
    </row>
    <row r="69" customFormat="false" ht="66" hidden="false" customHeight="true" outlineLevel="0" collapsed="false">
      <c r="B69" s="414" t="s">
        <v>1228</v>
      </c>
      <c r="C69" s="414"/>
      <c r="D69" s="414"/>
      <c r="E69" s="414"/>
      <c r="F69" s="414"/>
      <c r="G69" s="414"/>
      <c r="H69" s="414"/>
      <c r="I69" s="414"/>
      <c r="J69" s="414"/>
      <c r="K69" s="414"/>
      <c r="L69" s="414"/>
      <c r="M69" s="414"/>
    </row>
    <row r="70" customFormat="false" ht="51" hidden="false" customHeight="true" outlineLevel="0" collapsed="false">
      <c r="B70" s="414" t="s">
        <v>1229</v>
      </c>
      <c r="C70" s="414"/>
      <c r="D70" s="414"/>
      <c r="E70" s="414"/>
      <c r="F70" s="414"/>
      <c r="G70" s="414"/>
      <c r="H70" s="414"/>
      <c r="I70" s="414"/>
      <c r="J70" s="414"/>
      <c r="K70" s="414"/>
      <c r="L70" s="414"/>
      <c r="M70" s="414"/>
    </row>
    <row r="71" customFormat="false" ht="51" hidden="false" customHeight="true" outlineLevel="0" collapsed="false">
      <c r="B71" s="414" t="s">
        <v>1230</v>
      </c>
      <c r="C71" s="414"/>
      <c r="D71" s="414"/>
      <c r="E71" s="414"/>
      <c r="F71" s="414"/>
      <c r="G71" s="414"/>
      <c r="H71" s="414"/>
      <c r="I71" s="414"/>
      <c r="J71" s="414"/>
      <c r="K71" s="414"/>
      <c r="L71" s="414"/>
      <c r="M71" s="414"/>
    </row>
    <row r="72" customFormat="false" ht="51" hidden="false" customHeight="true" outlineLevel="0" collapsed="false">
      <c r="B72" s="414" t="s">
        <v>1231</v>
      </c>
      <c r="C72" s="414"/>
      <c r="D72" s="414"/>
      <c r="E72" s="414"/>
      <c r="F72" s="414"/>
      <c r="G72" s="414"/>
      <c r="H72" s="414"/>
      <c r="I72" s="414"/>
      <c r="J72" s="414"/>
      <c r="K72" s="414"/>
      <c r="L72" s="414"/>
      <c r="M72" s="414"/>
    </row>
    <row r="73" customFormat="false" ht="51" hidden="false" customHeight="true" outlineLevel="0" collapsed="false">
      <c r="B73" s="414" t="s">
        <v>1232</v>
      </c>
      <c r="C73" s="414"/>
      <c r="D73" s="414"/>
      <c r="E73" s="414"/>
      <c r="F73" s="414"/>
      <c r="G73" s="414"/>
      <c r="H73" s="414"/>
      <c r="I73" s="414"/>
      <c r="J73" s="414"/>
      <c r="K73" s="414"/>
      <c r="L73" s="414"/>
      <c r="M73" s="414"/>
    </row>
    <row r="74" customFormat="false" ht="51" hidden="false" customHeight="true" outlineLevel="0" collapsed="false">
      <c r="B74" s="414" t="s">
        <v>1233</v>
      </c>
      <c r="C74" s="414"/>
      <c r="D74" s="414"/>
      <c r="E74" s="414"/>
      <c r="F74" s="414"/>
      <c r="G74" s="414"/>
      <c r="H74" s="414"/>
      <c r="I74" s="414"/>
      <c r="J74" s="414"/>
      <c r="K74" s="414"/>
      <c r="L74" s="414"/>
      <c r="M74" s="414"/>
    </row>
    <row r="75" customFormat="false" ht="51" hidden="false" customHeight="true" outlineLevel="0" collapsed="false">
      <c r="B75" s="414" t="s">
        <v>1234</v>
      </c>
      <c r="C75" s="414"/>
      <c r="D75" s="414"/>
      <c r="E75" s="414"/>
      <c r="F75" s="414"/>
      <c r="G75" s="414"/>
      <c r="H75" s="414"/>
      <c r="I75" s="414"/>
      <c r="J75" s="414"/>
      <c r="K75" s="414"/>
      <c r="L75" s="414"/>
      <c r="M75" s="414"/>
    </row>
    <row r="76" customFormat="false" ht="51" hidden="false" customHeight="true" outlineLevel="0" collapsed="false">
      <c r="B76" s="414" t="s">
        <v>1235</v>
      </c>
      <c r="C76" s="414"/>
      <c r="D76" s="414"/>
      <c r="E76" s="414"/>
      <c r="F76" s="414"/>
      <c r="G76" s="414"/>
      <c r="H76" s="414"/>
      <c r="I76" s="414"/>
      <c r="J76" s="414"/>
      <c r="K76" s="414"/>
      <c r="L76" s="414"/>
      <c r="M76" s="414"/>
    </row>
    <row r="77" customFormat="false" ht="51" hidden="false" customHeight="true" outlineLevel="0" collapsed="false">
      <c r="B77" s="414" t="s">
        <v>1236</v>
      </c>
      <c r="C77" s="414"/>
      <c r="D77" s="414"/>
      <c r="E77" s="414"/>
      <c r="F77" s="414"/>
      <c r="G77" s="414"/>
      <c r="H77" s="414"/>
      <c r="I77" s="414"/>
      <c r="J77" s="414"/>
      <c r="K77" s="414"/>
      <c r="L77" s="414"/>
      <c r="M77" s="414"/>
    </row>
    <row r="78" customFormat="false" ht="51" hidden="false" customHeight="true" outlineLevel="0" collapsed="false">
      <c r="B78" s="414" t="s">
        <v>1237</v>
      </c>
      <c r="C78" s="414"/>
      <c r="D78" s="414"/>
      <c r="E78" s="414"/>
      <c r="F78" s="414"/>
      <c r="G78" s="414"/>
      <c r="H78" s="414"/>
      <c r="I78" s="414"/>
      <c r="J78" s="414"/>
      <c r="K78" s="414"/>
      <c r="L78" s="414"/>
      <c r="M78" s="414"/>
    </row>
  </sheetData>
  <mergeCells count="20">
    <mergeCell ref="B5:D5"/>
    <mergeCell ref="B8:J8"/>
    <mergeCell ref="B15:J15"/>
    <mergeCell ref="B16:J16"/>
    <mergeCell ref="B36:J36"/>
    <mergeCell ref="B42:L42"/>
    <mergeCell ref="B50:M50"/>
    <mergeCell ref="B56:M56"/>
    <mergeCell ref="B61:M61"/>
    <mergeCell ref="B68:M68"/>
    <mergeCell ref="B69:M69"/>
    <mergeCell ref="B70:M70"/>
    <mergeCell ref="B71:M71"/>
    <mergeCell ref="B72:M72"/>
    <mergeCell ref="B73:M73"/>
    <mergeCell ref="B74:M74"/>
    <mergeCell ref="B75:M75"/>
    <mergeCell ref="B76:M76"/>
    <mergeCell ref="B77:M77"/>
    <mergeCell ref="B78:M7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20"/>
    <col collapsed="false" customWidth="true" hidden="false" outlineLevel="0" max="11" min="8" style="0" width="12"/>
  </cols>
  <sheetData>
    <row r="1" customFormat="false" ht="3.75" hidden="false" customHeight="true" outlineLevel="0" collapsed="false">
      <c r="B1" s="1"/>
      <c r="C1" s="2"/>
      <c r="D1" s="2"/>
      <c r="E1" s="2"/>
      <c r="F1" s="1"/>
      <c r="G1" s="2"/>
    </row>
    <row r="2" customFormat="false" ht="27.75" hidden="false" customHeight="true" outlineLevel="0" collapsed="false">
      <c r="B2" s="15" t="s">
        <v>7191</v>
      </c>
      <c r="C2" s="15"/>
      <c r="D2" s="15"/>
      <c r="E2" s="15"/>
      <c r="F2" s="1023" t="s">
        <v>995</v>
      </c>
      <c r="G2" s="1023"/>
    </row>
    <row r="3" customFormat="false" ht="33.75" hidden="false" customHeight="true" outlineLevel="0" collapsed="false">
      <c r="B3" s="90" t="s">
        <v>5994</v>
      </c>
      <c r="C3" s="90"/>
      <c r="D3" s="90"/>
      <c r="E3" s="90"/>
      <c r="F3" s="90"/>
      <c r="G3" s="90"/>
    </row>
    <row r="4" customFormat="false" ht="15" hidden="false" customHeight="true" outlineLevel="0" collapsed="false">
      <c r="B4" s="6"/>
      <c r="F4" s="6"/>
    </row>
    <row r="5" customFormat="false" ht="21.75" hidden="false" customHeight="true" outlineLevel="0" collapsed="false">
      <c r="B5" s="96" t="s">
        <v>5995</v>
      </c>
      <c r="C5" s="96"/>
      <c r="D5" s="96"/>
      <c r="E5" s="96"/>
      <c r="F5" s="96"/>
      <c r="G5" s="96"/>
    </row>
    <row r="6" customFormat="false" ht="21.75" hidden="false" customHeight="true" outlineLevel="0" collapsed="false">
      <c r="B6" s="97" t="s">
        <v>3445</v>
      </c>
      <c r="C6" s="98" t="s">
        <v>5996</v>
      </c>
      <c r="D6" s="98" t="s">
        <v>5073</v>
      </c>
      <c r="E6" s="98" t="s">
        <v>4241</v>
      </c>
      <c r="F6" s="99" t="s">
        <v>4242</v>
      </c>
      <c r="G6" s="98" t="s">
        <v>778</v>
      </c>
    </row>
    <row r="7" customFormat="false" ht="15" hidden="false" customHeight="true" outlineLevel="0" collapsed="false">
      <c r="B7" s="113" t="s">
        <v>7043</v>
      </c>
      <c r="C7" s="567" t="n">
        <f aca="false">'Museum · Drivers'!D7*'Museum · Drivers'!D8</f>
        <v>25500</v>
      </c>
      <c r="D7" s="480" t="n">
        <f aca="false">'Museum · Drivers'!D7*'Museum · Drivers'!D8</f>
        <v>25500</v>
      </c>
      <c r="E7" s="740" t="n">
        <f aca="false">IFERROR(D7/C7,0)</f>
        <v>1</v>
      </c>
      <c r="F7" s="1395" t="n">
        <f aca="false">IFERROR(1-E7,0)</f>
        <v>0</v>
      </c>
      <c r="G7" s="634" t="s">
        <v>7192</v>
      </c>
    </row>
    <row r="8" customFormat="false" ht="15" hidden="false" customHeight="true" outlineLevel="0" collapsed="false">
      <c r="B8" s="113" t="s">
        <v>7193</v>
      </c>
      <c r="C8" s="567" t="n">
        <f aca="false">'Museum · Revenue'!E18/40</f>
        <v>0</v>
      </c>
      <c r="D8" s="480" t="n">
        <f aca="false">'Museum · Revenue'!E18/40</f>
        <v>0</v>
      </c>
      <c r="E8" s="740" t="n">
        <f aca="false">IFERROR(D8/C8,0)</f>
        <v>0</v>
      </c>
      <c r="F8" s="1395" t="n">
        <f aca="false">IFERROR(1-E8,0)</f>
        <v>1</v>
      </c>
      <c r="G8" s="634" t="s">
        <v>7194</v>
      </c>
    </row>
    <row r="9" customFormat="false" ht="15" hidden="false" customHeight="true" outlineLevel="0" collapsed="false">
      <c r="B9" s="113" t="s">
        <v>7195</v>
      </c>
      <c r="C9" s="567" t="n">
        <f aca="false">'Museum · Revenue'!E21/'Museum · Drivers'!D22</f>
        <v>7981.8</v>
      </c>
      <c r="D9" s="480" t="n">
        <f aca="false">'Museum · Revenue'!E21/'Museum · Drivers'!D22</f>
        <v>7981.8</v>
      </c>
      <c r="E9" s="740" t="n">
        <f aca="false">IFERROR(D9/C9,0)</f>
        <v>1</v>
      </c>
      <c r="F9" s="1395" t="n">
        <f aca="false">IFERROR(1-E9,0)</f>
        <v>0</v>
      </c>
      <c r="G9" s="634" t="s">
        <v>7196</v>
      </c>
    </row>
    <row r="10" customFormat="false" ht="15" hidden="false" customHeight="true" outlineLevel="0" collapsed="false">
      <c r="B10" s="6"/>
      <c r="F10" s="6"/>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1.75" hidden="false" customHeight="true" outlineLevel="0" collapsed="false">
      <c r="B13" s="97" t="s">
        <v>738</v>
      </c>
      <c r="C13" s="98" t="s">
        <v>4247</v>
      </c>
      <c r="D13" s="98" t="s">
        <v>3446</v>
      </c>
      <c r="E13" s="98" t="s">
        <v>4249</v>
      </c>
      <c r="F13" s="99" t="s">
        <v>778</v>
      </c>
    </row>
    <row r="14" customFormat="false" ht="15" hidden="false" customHeight="true" outlineLevel="0" collapsed="false">
      <c r="B14" s="113" t="s">
        <v>4250</v>
      </c>
      <c r="C14" s="1396" t="n">
        <v>1</v>
      </c>
      <c r="D14" s="606" t="n">
        <f aca="false">'Museum · Revenue'!E24</f>
        <v>488873.1</v>
      </c>
      <c r="E14" s="706" t="s">
        <v>672</v>
      </c>
      <c r="F14" s="592" t="s">
        <v>4251</v>
      </c>
    </row>
    <row r="15" customFormat="false" ht="15" hidden="false" customHeight="true" outlineLevel="0" collapsed="false">
      <c r="B15" s="113" t="s">
        <v>6005</v>
      </c>
      <c r="C15" s="1396" t="n">
        <v>1.25</v>
      </c>
      <c r="D15" s="648" t="n">
        <f aca="false">'Museum · Revenue'!E24*1.25</f>
        <v>611091.375</v>
      </c>
      <c r="E15" s="1397" t="n">
        <f aca="false">D15/D14-1</f>
        <v>0.25</v>
      </c>
      <c r="F15" s="592" t="s">
        <v>6006</v>
      </c>
    </row>
    <row r="16" customFormat="false" ht="15" hidden="false" customHeight="true" outlineLevel="0" collapsed="false">
      <c r="B16" s="113" t="s">
        <v>6007</v>
      </c>
      <c r="C16" s="1396" t="n">
        <v>1.5</v>
      </c>
      <c r="D16" s="648" t="n">
        <f aca="false">'Museum · Revenue'!E24*1.5</f>
        <v>733309.65</v>
      </c>
      <c r="E16" s="1397" t="n">
        <f aca="false">D16/D14-1</f>
        <v>0.5</v>
      </c>
      <c r="F16" s="592" t="s">
        <v>6008</v>
      </c>
    </row>
    <row r="17" customFormat="false" ht="15" hidden="false" customHeight="true" outlineLevel="0" collapsed="false">
      <c r="B17" s="113" t="s">
        <v>6009</v>
      </c>
      <c r="C17" s="1396" t="n">
        <v>2</v>
      </c>
      <c r="D17" s="648" t="n">
        <f aca="false">'Museum · Revenue'!E24*2</f>
        <v>977746.2</v>
      </c>
      <c r="E17" s="1397" t="n">
        <f aca="false">D17/D14-1</f>
        <v>1</v>
      </c>
      <c r="F17" s="592" t="s">
        <v>6010</v>
      </c>
    </row>
    <row r="18" customFormat="false" ht="15" hidden="false" customHeight="true" outlineLevel="0" collapsed="false">
      <c r="B18" s="6"/>
      <c r="F18" s="6"/>
    </row>
    <row r="19" customFormat="false" ht="21.75" hidden="false" customHeight="true" outlineLevel="0" collapsed="false">
      <c r="B19" s="72" t="s">
        <v>6011</v>
      </c>
      <c r="C19" s="72"/>
      <c r="D19" s="72"/>
      <c r="E19" s="72"/>
      <c r="F19" s="72"/>
      <c r="G19" s="72"/>
    </row>
    <row r="20" customFormat="false" ht="120" hidden="false" customHeight="true" outlineLevel="0" collapsed="false">
      <c r="B20" s="1398" t="s">
        <v>7197</v>
      </c>
      <c r="C20" s="1398"/>
      <c r="D20" s="1398"/>
      <c r="E20" s="1398"/>
      <c r="F20" s="1398"/>
      <c r="G20" s="1398"/>
    </row>
    <row r="21" customFormat="false" ht="15" hidden="false" customHeight="true" outlineLevel="0" collapsed="false">
      <c r="B21" s="1398"/>
      <c r="C21" s="1398"/>
      <c r="D21" s="1398"/>
      <c r="E21" s="1398"/>
      <c r="F21" s="1398"/>
      <c r="G21" s="1398"/>
    </row>
    <row r="22" customFormat="false" ht="15" hidden="false" customHeight="true" outlineLevel="0" collapsed="false">
      <c r="B22" s="1398"/>
      <c r="C22" s="1398"/>
      <c r="D22" s="1398"/>
      <c r="E22" s="1398"/>
      <c r="F22" s="1398"/>
      <c r="G22" s="1398"/>
    </row>
    <row r="23" customFormat="false" ht="15" hidden="false" customHeight="true" outlineLevel="0" collapsed="false">
      <c r="B23" s="1398"/>
      <c r="C23" s="1398"/>
      <c r="D23" s="1398"/>
      <c r="E23" s="1398"/>
      <c r="F23" s="1398"/>
      <c r="G23" s="1398"/>
    </row>
    <row r="24" customFormat="false" ht="15" hidden="false" customHeight="true" outlineLevel="0" collapsed="false">
      <c r="B24" s="1398"/>
      <c r="C24" s="1398"/>
      <c r="D24" s="1398"/>
      <c r="E24" s="1398"/>
      <c r="F24" s="1398"/>
      <c r="G24" s="1398"/>
    </row>
  </sheetData>
  <mergeCells count="7">
    <mergeCell ref="B2:E2"/>
    <mergeCell ref="F2:G2"/>
    <mergeCell ref="B3:G3"/>
    <mergeCell ref="B5:G5"/>
    <mergeCell ref="B12:G12"/>
    <mergeCell ref="B19:G19"/>
    <mergeCell ref="B20:G2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8"/>
    <col collapsed="false" customWidth="true" hidden="false" outlineLevel="0" max="8" min="8" style="0" width="9"/>
    <col collapsed="false" customWidth="true" hidden="false" outlineLevel="0" max="9" min="9" style="0" width="20"/>
    <col collapsed="false" customWidth="true" hidden="false" outlineLevel="0" max="11" min="10" style="0" width="12"/>
  </cols>
  <sheetData>
    <row r="1" customFormat="false" ht="3.75" hidden="false" customHeight="true" outlineLevel="0" collapsed="false">
      <c r="B1" s="1"/>
      <c r="C1" s="2"/>
      <c r="D1" s="2"/>
      <c r="E1" s="2"/>
      <c r="F1" s="1"/>
      <c r="G1" s="2"/>
      <c r="H1" s="2"/>
      <c r="I1" s="2"/>
    </row>
    <row r="2" customFormat="false" ht="27.75" hidden="false" customHeight="true" outlineLevel="0" collapsed="false">
      <c r="B2" s="15" t="s">
        <v>7198</v>
      </c>
      <c r="C2" s="15"/>
      <c r="D2" s="15"/>
      <c r="E2" s="15"/>
      <c r="F2" s="1023" t="s">
        <v>995</v>
      </c>
      <c r="G2" s="1023"/>
      <c r="H2" s="1023"/>
      <c r="I2" s="1023"/>
    </row>
    <row r="3" customFormat="false" ht="33.75" hidden="false" customHeight="true" outlineLevel="0" collapsed="false">
      <c r="B3" s="90" t="s">
        <v>7199</v>
      </c>
      <c r="C3" s="90"/>
      <c r="D3" s="90"/>
      <c r="E3" s="90"/>
      <c r="F3" s="90"/>
      <c r="G3" s="90"/>
      <c r="H3" s="90"/>
      <c r="I3" s="90"/>
    </row>
    <row r="4" customFormat="false" ht="15" hidden="false" customHeight="true" outlineLevel="0" collapsed="false">
      <c r="B4" s="6"/>
      <c r="F4" s="6"/>
    </row>
    <row r="5" customFormat="false" ht="21.75" hidden="false" customHeight="true" outlineLevel="0" collapsed="false">
      <c r="B5" s="96" t="s">
        <v>5096</v>
      </c>
      <c r="C5" s="96"/>
      <c r="D5" s="96"/>
      <c r="E5" s="96"/>
      <c r="F5" s="96"/>
      <c r="G5" s="96"/>
      <c r="I5" s="958" t="s">
        <v>4262</v>
      </c>
    </row>
    <row r="6" customFormat="false" ht="21.75" hidden="false" customHeight="true" outlineLevel="0" collapsed="false">
      <c r="B6" s="97" t="s">
        <v>3507</v>
      </c>
      <c r="C6" s="98" t="s">
        <v>4263</v>
      </c>
      <c r="D6" s="98" t="s">
        <v>4264</v>
      </c>
      <c r="E6" s="98" t="s">
        <v>2930</v>
      </c>
      <c r="F6" s="99" t="s">
        <v>4265</v>
      </c>
      <c r="G6" s="98" t="s">
        <v>4266</v>
      </c>
    </row>
    <row r="7" customFormat="false" ht="15" hidden="false" customHeight="true" outlineLevel="0" collapsed="false">
      <c r="B7" s="113" t="s">
        <v>7043</v>
      </c>
      <c r="C7" s="533" t="n">
        <f aca="false">'Museum · Drivers'!D7</f>
        <v>85</v>
      </c>
      <c r="D7" s="1450" t="s">
        <v>4318</v>
      </c>
      <c r="E7" s="1451" t="s">
        <v>7200</v>
      </c>
      <c r="F7" s="1289" t="s">
        <v>7201</v>
      </c>
      <c r="G7" s="565" t="s">
        <v>7202</v>
      </c>
    </row>
    <row r="8" customFormat="false" ht="15" hidden="false" customHeight="true" outlineLevel="0" collapsed="false">
      <c r="B8" s="113" t="s">
        <v>7203</v>
      </c>
      <c r="C8" s="544" t="n">
        <f aca="false">'Museum · Revenue'!E10/('Museum · Drivers'!D7*'Museum · Drivers'!D8)</f>
        <v>1.51228235294118</v>
      </c>
      <c r="D8" s="1450" t="s">
        <v>7204</v>
      </c>
      <c r="E8" s="1451" t="s">
        <v>7200</v>
      </c>
      <c r="F8" s="1289" t="s">
        <v>7201</v>
      </c>
      <c r="G8" s="565" t="s">
        <v>4280</v>
      </c>
    </row>
    <row r="9" customFormat="false" ht="15" hidden="false" customHeight="true" outlineLevel="0" collapsed="false">
      <c r="B9" s="113" t="s">
        <v>7205</v>
      </c>
      <c r="C9" s="1288" t="n">
        <f aca="false">'Museum · Revenue'!E18/'Museum · Revenue'!E10</f>
        <v>0</v>
      </c>
      <c r="D9" s="1450" t="s">
        <v>5302</v>
      </c>
      <c r="E9" s="1451" t="s">
        <v>4287</v>
      </c>
      <c r="F9" s="1289" t="s">
        <v>7201</v>
      </c>
      <c r="G9" s="565" t="s">
        <v>7206</v>
      </c>
    </row>
    <row r="10" customFormat="false" ht="15" hidden="false" customHeight="true" outlineLevel="0" collapsed="false">
      <c r="B10" s="113" t="s">
        <v>7207</v>
      </c>
      <c r="C10" s="533" t="n">
        <f aca="false">'Museum · Revenue'!E21/'Museum · Drivers'!D22/12</f>
        <v>665.15</v>
      </c>
      <c r="D10" s="1450" t="s">
        <v>7208</v>
      </c>
      <c r="E10" s="1451" t="s">
        <v>4287</v>
      </c>
      <c r="F10" s="1289" t="s">
        <v>7209</v>
      </c>
      <c r="G10" s="565" t="s">
        <v>7210</v>
      </c>
    </row>
    <row r="11" customFormat="false" ht="15" hidden="false" customHeight="true" outlineLevel="0" collapsed="false">
      <c r="B11" s="113" t="s">
        <v>7211</v>
      </c>
      <c r="C11" s="1452" t="n">
        <f aca="false">4.5</f>
        <v>4.5</v>
      </c>
      <c r="D11" s="1450" t="s">
        <v>7212</v>
      </c>
      <c r="E11" s="1451" t="s">
        <v>4302</v>
      </c>
      <c r="F11" s="1289" t="s">
        <v>7201</v>
      </c>
      <c r="G11" s="565" t="s">
        <v>4303</v>
      </c>
    </row>
    <row r="12" customFormat="false" ht="15" hidden="false" customHeight="true" outlineLevel="0" collapsed="false">
      <c r="B12" s="113" t="s">
        <v>7213</v>
      </c>
      <c r="C12" s="1314" t="n">
        <f aca="false">0.2</f>
        <v>0.2</v>
      </c>
      <c r="D12" s="1450" t="s">
        <v>7214</v>
      </c>
      <c r="E12" s="1451" t="s">
        <v>4287</v>
      </c>
      <c r="F12" s="1289" t="s">
        <v>4288</v>
      </c>
      <c r="G12" s="565" t="s">
        <v>7215</v>
      </c>
    </row>
    <row r="13" customFormat="false" ht="15" hidden="false" customHeight="true" outlineLevel="0" collapsed="false">
      <c r="B13" s="6"/>
      <c r="F13" s="6"/>
    </row>
    <row r="14" customFormat="false" ht="21.75" hidden="false" customHeight="true" outlineLevel="0" collapsed="false">
      <c r="B14" s="72" t="s">
        <v>4312</v>
      </c>
      <c r="C14" s="72"/>
      <c r="D14" s="72"/>
      <c r="E14" s="72"/>
      <c r="F14" s="72"/>
      <c r="G14" s="72"/>
    </row>
    <row r="15" customFormat="false" ht="21.75" hidden="false" customHeight="true" outlineLevel="0" collapsed="false">
      <c r="B15" s="97" t="s">
        <v>3507</v>
      </c>
      <c r="C15" s="98" t="s">
        <v>4313</v>
      </c>
      <c r="D15" s="98" t="s">
        <v>2255</v>
      </c>
      <c r="E15" s="98" t="s">
        <v>2930</v>
      </c>
      <c r="F15" s="99" t="s">
        <v>4265</v>
      </c>
      <c r="G15" s="98" t="s">
        <v>1658</v>
      </c>
    </row>
    <row r="16" customFormat="false" ht="15" hidden="false" customHeight="true" outlineLevel="0" collapsed="false">
      <c r="B16" s="113" t="s">
        <v>4314</v>
      </c>
      <c r="C16" s="544" t="n">
        <f aca="false">'Museum · Revenue'!E24/12</f>
        <v>40739.425</v>
      </c>
      <c r="D16" s="1450" t="s">
        <v>4269</v>
      </c>
      <c r="E16" s="1451" t="s">
        <v>4287</v>
      </c>
      <c r="F16" s="1289" t="s">
        <v>4315</v>
      </c>
      <c r="G16" s="565" t="s">
        <v>4316</v>
      </c>
    </row>
    <row r="17" customFormat="false" ht="15" hidden="false" customHeight="true" outlineLevel="0" collapsed="false">
      <c r="B17" s="113" t="s">
        <v>4317</v>
      </c>
      <c r="C17" s="544" t="n">
        <f aca="false">'Museum · Costs'!C37/12</f>
        <v>19986.4083333333</v>
      </c>
      <c r="D17" s="1450" t="s">
        <v>4318</v>
      </c>
      <c r="E17" s="1451" t="s">
        <v>4287</v>
      </c>
      <c r="F17" s="1289" t="s">
        <v>4315</v>
      </c>
      <c r="G17" s="565" t="s">
        <v>4316</v>
      </c>
    </row>
    <row r="18" customFormat="false" ht="15" hidden="false" customHeight="true" outlineLevel="0" collapsed="false">
      <c r="B18" s="113" t="s">
        <v>4070</v>
      </c>
      <c r="C18" s="1288" t="n">
        <f aca="false">'Museum · Costs'!C37/'Museum · Revenue'!E24</f>
        <v>0.49059132114244</v>
      </c>
      <c r="D18" s="1450" t="s">
        <v>7216</v>
      </c>
      <c r="E18" s="1451" t="s">
        <v>4287</v>
      </c>
      <c r="F18" s="1289" t="s">
        <v>4315</v>
      </c>
      <c r="G18" s="565" t="s">
        <v>4320</v>
      </c>
    </row>
    <row r="19" customFormat="false" ht="15" hidden="false" customHeight="true" outlineLevel="0" collapsed="false">
      <c r="B19" s="113" t="s">
        <v>4321</v>
      </c>
      <c r="C19" s="544" t="n">
        <f aca="false">'Museum · Cash Flow'!F28/12</f>
        <v>19611.9065258029</v>
      </c>
      <c r="D19" s="1450" t="s">
        <v>4322</v>
      </c>
      <c r="E19" s="1451" t="s">
        <v>4287</v>
      </c>
      <c r="F19" s="1289" t="s">
        <v>4315</v>
      </c>
      <c r="G19" s="565" t="s">
        <v>6065</v>
      </c>
    </row>
    <row r="20" customFormat="false" ht="15" hidden="false" customHeight="true" outlineLevel="0" collapsed="false">
      <c r="B20" s="113" t="s">
        <v>138</v>
      </c>
      <c r="C20" s="544" t="n">
        <f aca="false">'Museum · Costs'!C37</f>
        <v>239836.9</v>
      </c>
      <c r="D20" s="1450" t="s">
        <v>7217</v>
      </c>
      <c r="E20" s="1451" t="s">
        <v>4302</v>
      </c>
      <c r="F20" s="1289" t="s">
        <v>4315</v>
      </c>
      <c r="G20" s="565" t="s">
        <v>91</v>
      </c>
    </row>
    <row r="21" customFormat="false" ht="15" hidden="false" customHeight="true" outlineLevel="0" collapsed="false">
      <c r="B21" s="113" t="s">
        <v>7218</v>
      </c>
      <c r="C21" s="1288" t="n">
        <f aca="false">'Museum · 8-Year'!F11/'Museum · 8-Year'!E11-1</f>
        <v>0.03</v>
      </c>
      <c r="D21" s="1450" t="s">
        <v>5302</v>
      </c>
      <c r="E21" s="1451" t="s">
        <v>4330</v>
      </c>
      <c r="F21" s="1289" t="s">
        <v>4315</v>
      </c>
      <c r="G21" s="565" t="s">
        <v>7219</v>
      </c>
    </row>
    <row r="22" customFormat="false" ht="15" hidden="false" customHeight="true" outlineLevel="0" collapsed="false">
      <c r="B22" s="6"/>
      <c r="F22" s="6"/>
    </row>
    <row r="23" customFormat="false" ht="15" hidden="false" customHeight="true" outlineLevel="0" collapsed="false">
      <c r="B23" s="6"/>
      <c r="F23" s="6"/>
    </row>
    <row r="24" customFormat="false" ht="21.75" hidden="false" customHeight="true" outlineLevel="0" collapsed="false">
      <c r="B24" s="304" t="s">
        <v>5173</v>
      </c>
      <c r="C24" s="304"/>
      <c r="D24" s="304"/>
      <c r="E24" s="304"/>
      <c r="F24" s="304"/>
      <c r="G24" s="304"/>
    </row>
    <row r="25" customFormat="false" ht="120" hidden="false" customHeight="true" outlineLevel="0" collapsed="false">
      <c r="B25" s="85" t="s">
        <v>7220</v>
      </c>
      <c r="C25" s="85"/>
      <c r="D25" s="85"/>
      <c r="E25" s="85"/>
      <c r="F25" s="85"/>
      <c r="G25" s="85"/>
    </row>
    <row r="26" customFormat="false" ht="15" hidden="false" customHeight="true" outlineLevel="0" collapsed="false">
      <c r="B26" s="85"/>
      <c r="C26" s="85"/>
      <c r="D26" s="85"/>
      <c r="E26" s="85"/>
      <c r="F26" s="85"/>
      <c r="G26" s="85"/>
    </row>
    <row r="27" customFormat="false" ht="15" hidden="false" customHeight="true" outlineLevel="0" collapsed="false">
      <c r="B27" s="85"/>
      <c r="C27" s="85"/>
      <c r="D27" s="85"/>
      <c r="E27" s="85"/>
      <c r="F27" s="85"/>
      <c r="G27" s="85"/>
    </row>
    <row r="28" customFormat="false" ht="15" hidden="false" customHeight="true" outlineLevel="0" collapsed="false">
      <c r="B28" s="85"/>
      <c r="C28" s="85"/>
      <c r="D28" s="85"/>
      <c r="E28" s="85"/>
      <c r="F28" s="85"/>
      <c r="G28" s="85"/>
    </row>
    <row r="29" customFormat="false" ht="15" hidden="false" customHeight="true" outlineLevel="0" collapsed="false">
      <c r="B29" s="85"/>
      <c r="C29" s="85"/>
      <c r="D29" s="85"/>
      <c r="E29" s="85"/>
      <c r="F29" s="85"/>
      <c r="G29" s="85"/>
    </row>
  </sheetData>
  <mergeCells count="7">
    <mergeCell ref="B2:E2"/>
    <mergeCell ref="F2:I2"/>
    <mergeCell ref="B3:I3"/>
    <mergeCell ref="B5:G5"/>
    <mergeCell ref="B14:G14"/>
    <mergeCell ref="B24:G24"/>
    <mergeCell ref="B25:G2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917" t="s">
        <v>4334</v>
      </c>
      <c r="C2" s="917"/>
      <c r="D2" s="917"/>
      <c r="E2" s="917"/>
      <c r="F2" s="917"/>
      <c r="G2" s="89" t="s">
        <v>3432</v>
      </c>
      <c r="H2" s="89"/>
      <c r="I2" s="89"/>
      <c r="J2" s="89"/>
    </row>
    <row r="3" customFormat="false" ht="18" hidden="false" customHeight="true" outlineLevel="0" collapsed="false">
      <c r="B3" s="90" t="s">
        <v>6753</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3264</v>
      </c>
      <c r="C7" s="1308" t="n">
        <f aca="false">'Museum · Drivers'!C7</f>
        <v>72.25</v>
      </c>
      <c r="D7" s="1309" t="n">
        <f aca="false">'Museum · Drivers'!D7</f>
        <v>85</v>
      </c>
      <c r="E7" s="1310" t="n">
        <f aca="false">'Museum · Drivers'!E7</f>
        <v>93.5</v>
      </c>
      <c r="F7" s="6"/>
    </row>
    <row r="8" customFormat="false" ht="15" hidden="false" customHeight="true" outlineLevel="0" collapsed="false">
      <c r="B8" s="113" t="s">
        <v>7144</v>
      </c>
      <c r="C8" s="1400" t="n">
        <f aca="false">'Museum · Drivers'!C7*'Museum · Drivers'!C8+('Museum · Drivers'!C44+'Museum · Drivers'!C45*12+'Museum · Drivers'!C46)*'Museum · Drivers'!C24</f>
        <v>25885.936</v>
      </c>
      <c r="D8" s="533" t="n">
        <f aca="false">'Museum · Drivers'!D7*'Museum · Drivers'!D8+('Museum · Drivers'!C44+'Museum · Drivers'!C45*12+'Museum · Drivers'!C46)*'Museum · Drivers'!D24</f>
        <v>31927.2</v>
      </c>
      <c r="E8" s="1401" t="n">
        <f aca="false">'Museum · Drivers'!E7*'Museum · Drivers'!E8+('Museum · Drivers'!C44+'Museum · Drivers'!C45*12+'Museum · Drivers'!C46)*'Museum · Drivers'!E24</f>
        <v>36861.376</v>
      </c>
      <c r="F8" s="6"/>
    </row>
    <row r="9" customFormat="false" ht="15" hidden="false" customHeight="true" outlineLevel="0" collapsed="false">
      <c r="B9" s="113" t="s">
        <v>4983</v>
      </c>
      <c r="C9" s="1371" t="n">
        <f aca="false">(('Museum · Drivers'!C7*'Museum · Drivers'!C8*'Museum · Drivers'!C10*'Museum · Drivers'!C14)+('Museum · Drivers'!C7*'Museum · Drivers'!C8*'Museum · Drivers'!C11*'Museum · Drivers'!C15)+('Museum · Drivers'!C7*'Museum · Drivers'!C8*'Museum · Drivers'!C12*'Museum · Drivers'!C16)+(('Museum · Drivers'!C44+'Museum · Drivers'!C45*12+'Museum · Drivers'!C46)*'Museum · Drivers'!C24*'Museum · Drivers'!C25))+(('Museum · Drivers'!C7*'Museum · Drivers'!C8+('Museum · Drivers'!C44+'Museum · Drivers'!C45*12+'Museum · Drivers'!C46)*'Museum · Drivers'!C24)*'Museum · Drivers'!C18*'Museum · Drivers'!C19)+(('Museum · Drivers'!C7*'Museum · Drivers'!C8+('Museum · Drivers'!C44+'Museum · Drivers'!C45*12+'Museum · Drivers'!C46)*'Museum · Drivers'!C24)*'Museum · Drivers'!C21*'Museum · Drivers'!C22)</f>
        <v>322767.6054992</v>
      </c>
      <c r="D9" s="406"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488873.1</v>
      </c>
      <c r="E9" s="1402" t="n">
        <f aca="false">(('Museum · Drivers'!E7*'Museum · Drivers'!E8*'Museum · Drivers'!E10*'Museum · Drivers'!E14)+('Museum · Drivers'!E7*'Museum · Drivers'!E8*'Museum · Drivers'!E11*'Museum · Drivers'!E15)+('Museum · Drivers'!E7*'Museum · Drivers'!E8*'Museum · Drivers'!E12*'Museum · Drivers'!E16)+(('Museum · Drivers'!C44+'Museum · Drivers'!C45*12+'Museum · Drivers'!C46)*'Museum · Drivers'!E24*'Museum · Drivers'!E25))+(('Museum · Drivers'!E7*'Museum · Drivers'!E8+('Museum · Drivers'!C44+'Museum · Drivers'!C45*12+'Museum · Drivers'!C46)*'Museum · Drivers'!E24)*'Museum · Drivers'!E18*'Museum · Drivers'!E19)+(('Museum · Drivers'!E7*'Museum · Drivers'!E8+('Museum · Drivers'!C44+'Museum · Drivers'!C45*12+'Museum · Drivers'!C46)*'Museum · Drivers'!E24)*'Museum · Drivers'!E21*'Museum · Drivers'!E22)</f>
        <v>621625.293696</v>
      </c>
      <c r="F9" s="692" t="n">
        <f aca="false">E9/C9</f>
        <v>1.92592219016087</v>
      </c>
    </row>
    <row r="10" customFormat="false" ht="15" hidden="false" customHeight="true" outlineLevel="0" collapsed="false">
      <c r="B10" s="6"/>
      <c r="F10" s="6"/>
    </row>
    <row r="11" customFormat="false" ht="15" hidden="false" customHeight="true" outlineLevel="0" collapsed="false">
      <c r="B11" s="6"/>
      <c r="F11" s="6"/>
    </row>
    <row r="12" customFormat="false" ht="21.75" hidden="false" customHeight="true" outlineLevel="0" collapsed="false">
      <c r="B12" s="96" t="s">
        <v>2447</v>
      </c>
      <c r="C12" s="96"/>
      <c r="D12" s="96"/>
      <c r="E12" s="96"/>
      <c r="F12" s="96"/>
      <c r="G12" s="96"/>
      <c r="H12" s="96"/>
    </row>
    <row r="13" customFormat="false" ht="15" hidden="false" customHeight="true" outlineLevel="0" collapsed="false">
      <c r="B13" s="97" t="s">
        <v>738</v>
      </c>
      <c r="C13" s="98" t="s">
        <v>962</v>
      </c>
      <c r="D13" s="98" t="s">
        <v>207</v>
      </c>
      <c r="E13" s="98" t="s">
        <v>2448</v>
      </c>
      <c r="F13" s="6"/>
    </row>
    <row r="14" customFormat="false" ht="15" hidden="false" customHeight="true" outlineLevel="0" collapsed="false">
      <c r="B14" s="113" t="s">
        <v>2449</v>
      </c>
      <c r="C14" s="696" t="n">
        <v>0.2</v>
      </c>
      <c r="D14" s="1316" t="n">
        <f aca="false">C9</f>
        <v>322767.6054992</v>
      </c>
      <c r="E14" s="544" t="n">
        <f aca="false">C14*D14</f>
        <v>64553.52109984</v>
      </c>
      <c r="F14" s="6"/>
    </row>
    <row r="15" customFormat="false" ht="15" hidden="false" customHeight="true" outlineLevel="0" collapsed="false">
      <c r="B15" s="113" t="s">
        <v>2283</v>
      </c>
      <c r="C15" s="696" t="n">
        <v>0.55</v>
      </c>
      <c r="D15" s="1316" t="n">
        <f aca="false">D9</f>
        <v>488873.1</v>
      </c>
      <c r="E15" s="544" t="n">
        <f aca="false">C15*D15</f>
        <v>268880.205</v>
      </c>
      <c r="F15" s="6"/>
    </row>
    <row r="16" customFormat="false" ht="15" hidden="false" customHeight="true" outlineLevel="0" collapsed="false">
      <c r="B16" s="113" t="s">
        <v>2450</v>
      </c>
      <c r="C16" s="696" t="n">
        <v>0.25</v>
      </c>
      <c r="D16" s="1316" t="n">
        <f aca="false">E9</f>
        <v>621625.293696</v>
      </c>
      <c r="E16" s="544" t="n">
        <f aca="false">C16*D16</f>
        <v>155406.323424</v>
      </c>
      <c r="F16" s="6"/>
    </row>
    <row r="17" customFormat="false" ht="15" hidden="false" customHeight="true" outlineLevel="0" collapsed="false">
      <c r="B17" s="6" t="s">
        <v>342</v>
      </c>
      <c r="C17" s="698" t="n">
        <f aca="false">SUM(C14:C16)</f>
        <v>1</v>
      </c>
      <c r="F17" s="6"/>
    </row>
    <row r="18" customFormat="false" ht="15" hidden="false" customHeight="true" outlineLevel="0" collapsed="false">
      <c r="B18" s="6"/>
      <c r="F18" s="6"/>
    </row>
    <row r="19" customFormat="false" ht="27.75" hidden="false" customHeight="true" outlineLevel="0" collapsed="false">
      <c r="B19" s="699" t="s">
        <v>5179</v>
      </c>
      <c r="E19" s="578" t="n">
        <f aca="false">SUM(E14:E16)</f>
        <v>488840.04952384</v>
      </c>
      <c r="F19" s="6"/>
    </row>
  </sheetData>
  <mergeCells count="5">
    <mergeCell ref="B2:F2"/>
    <mergeCell ref="G2:J2"/>
    <mergeCell ref="B3:J3"/>
    <mergeCell ref="B5:H5"/>
    <mergeCell ref="B12:H12"/>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7221</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3264</v>
      </c>
      <c r="C8" s="360" t="n">
        <f aca="false">((('Museum · Drivers'!D7*UNIVERSAL_DRIVERS!$C$33*'Museum · Drivers'!D8)*'Museum · Drivers'!D10*'Museum · Drivers'!D14)+(('Museum · Drivers'!D7*UNIVERSAL_DRIVERS!$C$33*'Museum · Drivers'!D8)*'Museum · Drivers'!D11*'Museum · Drivers'!D15)+(('Museum · Drivers'!D7*UNIVERSAL_DRIVERS!$C$33*'Museum · Drivers'!D8)*'Museum · Drivers'!D12*'Museum · Drivers'!D16)+((('Museum · Drivers'!C44+'Museum · Drivers'!C45*12+'Museum · Drivers'!C46)*'Museum · Drivers'!D24)*'Museum · Drivers'!D25))+((('Museum · Drivers'!D7*UNIVERSAL_DRIVERS!$C$33*'Museum · Drivers'!D8)+(('Museum · Drivers'!C44+'Museum · Drivers'!C45*12+'Museum · Drivers'!C46)*'Museum · Drivers'!D24))*'Museum · Drivers'!D18*'Museum · Drivers'!D19)+((('Museum · Drivers'!D7*UNIVERSAL_DRIVERS!$C$33*'Museum · Drivers'!D8)+(('Museum · Drivers'!C44+'Museum · Drivers'!C45*12+'Museum · Drivers'!C46)*'Museum · Drivers'!D24))*'Museum · Drivers'!D21*'Museum · Drivers'!D22)</f>
        <v>404595.6</v>
      </c>
      <c r="D8" s="1280" t="n">
        <f aca="false">((('Museum · Drivers'!D7*UNIVERSAL_DRIVERS!$C$34*'Museum · Drivers'!D8)*'Museum · Drivers'!D10*'Museum · Drivers'!D14)+(('Museum · Drivers'!D7*UNIVERSAL_DRIVERS!$C$34*'Museum · Drivers'!D8)*'Museum · Drivers'!D11*'Museum · Drivers'!D15)+(('Museum · Drivers'!D7*UNIVERSAL_DRIVERS!$C$34*'Museum · Drivers'!D8)*'Museum · Drivers'!D12*'Museum · Drivers'!D16)+((('Museum · Drivers'!C44+'Museum · Drivers'!C45*12+'Museum · Drivers'!C46)*'Museum · Drivers'!D24)*'Museum · Drivers'!D25))+((('Museum · Drivers'!D7*UNIVERSAL_DRIVERS!$C$34*'Museum · Drivers'!D8)+(('Museum · Drivers'!C44+'Museum · Drivers'!C45*12+'Museum · Drivers'!C46)*'Museum · Drivers'!D24))*'Museum · Drivers'!D18*'Museum · Drivers'!D19)+((('Museum · Drivers'!D7*UNIVERSAL_DRIVERS!$C$34*'Museum · Drivers'!D8)+(('Museum · Drivers'!C44+'Museum · Drivers'!C45*12+'Museum · Drivers'!C46)*'Museum · Drivers'!D24))*'Museum · Drivers'!D21*'Museum · Drivers'!D22)</f>
        <v>446734.35</v>
      </c>
      <c r="E8" s="1319" t="n">
        <f aca="false">((('Museum · Drivers'!D7*1*'Museum · Drivers'!D8)*'Museum · Drivers'!D10*'Museum · Drivers'!D14)+(('Museum · Drivers'!D7*1*'Museum · Drivers'!D8)*'Museum · Drivers'!D11*'Museum · Drivers'!D15)+(('Museum · Drivers'!D7*1*'Museum · Drivers'!D8)*'Museum · Drivers'!D12*'Museum · Drivers'!D16)+((('Museum · Drivers'!C44+'Museum · Drivers'!C45*12+'Museum · Drivers'!C46)*'Museum · Drivers'!D24)*'Museum · Drivers'!D25))+((('Museum · Drivers'!D7*1*'Museum · Drivers'!D8)+(('Museum · Drivers'!C44+'Museum · Drivers'!C45*12+'Museum · Drivers'!C46)*'Museum · Drivers'!D24))*'Museum · Drivers'!D18*'Museum · Drivers'!D19)+((('Museum · Drivers'!D7*1*'Museum · Drivers'!D8)+(('Museum · Drivers'!C44+'Museum · Drivers'!C45*12+'Museum · Drivers'!C46)*'Museum · Drivers'!D24))*'Museum · Drivers'!D21*'Museum · Drivers'!D22)</f>
        <v>488873.1</v>
      </c>
      <c r="F8" s="1320" t="n">
        <f aca="false">((('Museum · Drivers'!D7*1.1*'Museum · Drivers'!D8)*'Museum · Drivers'!D10*'Museum · Drivers'!D14)+(('Museum · Drivers'!D7*1.1*'Museum · Drivers'!D8)*'Museum · Drivers'!D11*'Museum · Drivers'!D15)+(('Museum · Drivers'!D7*1.1*'Museum · Drivers'!D8)*'Museum · Drivers'!D12*'Museum · Drivers'!D16)+((('Museum · Drivers'!C44+'Museum · Drivers'!C45*12+'Museum · Drivers'!C46)*'Museum · Drivers'!D24)*'Museum · Drivers'!D25))+((('Museum · Drivers'!D7*1.1*'Museum · Drivers'!D8)+(('Museum · Drivers'!C44+'Museum · Drivers'!C45*12+'Museum · Drivers'!C46)*'Museum · Drivers'!D24))*'Museum · Drivers'!D18*'Museum · Drivers'!D19)+((('Museum · Drivers'!D7*1.1*'Museum · Drivers'!D8)+(('Museum · Drivers'!C44+'Museum · Drivers'!C45*12+'Museum · Drivers'!C46)*'Museum · Drivers'!D24))*'Museum · Drivers'!D21*'Museum · Drivers'!D22)</f>
        <v>531011.85</v>
      </c>
      <c r="G8" s="1321" t="n">
        <f aca="false">((('Museum · Drivers'!D7*1.2*'Museum · Drivers'!D8)*'Museum · Drivers'!D10*'Museum · Drivers'!D14)+(('Museum · Drivers'!D7*1.2*'Museum · Drivers'!D8)*'Museum · Drivers'!D11*'Museum · Drivers'!D15)+(('Museum · Drivers'!D7*1.2*'Museum · Drivers'!D8)*'Museum · Drivers'!D12*'Museum · Drivers'!D16)+((('Museum · Drivers'!C44+'Museum · Drivers'!C45*12+'Museum · Drivers'!C46)*'Museum · Drivers'!D24)*'Museum · Drivers'!D25))+((('Museum · Drivers'!D7*1.2*'Museum · Drivers'!D8)+(('Museum · Drivers'!C44+'Museum · Drivers'!C45*12+'Museum · Drivers'!C46)*'Museum · Drivers'!D24))*'Museum · Drivers'!D18*'Museum · Drivers'!D19)+((('Museum · Drivers'!D7*1.2*'Museum · Drivers'!D8)+(('Museum · Drivers'!C44+'Museum · Drivers'!C45*12+'Museum · Drivers'!C46)*'Museum · Drivers'!D24))*'Museum · Drivers'!D21*'Museum · Drivers'!D22)</f>
        <v>573150.6</v>
      </c>
    </row>
    <row r="9" customFormat="false" ht="120" hidden="false" customHeight="true" outlineLevel="0" collapsed="false">
      <c r="B9" s="113" t="s">
        <v>7222</v>
      </c>
      <c r="C9" s="360" t="n">
        <f aca="false">((('Museum · Drivers'!D7*'Museum · Drivers'!D8)*'Museum · Drivers'!D10*'Museum · Drivers'!D14*UNIVERSAL_DRIVERS!$C$33)+(('Museum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462863.1</v>
      </c>
      <c r="D9" s="1280" t="n">
        <f aca="false">((('Museum · Drivers'!D7*'Museum · Drivers'!D8)*'Museum · Drivers'!D10*'Museum · Drivers'!D14*UNIVERSAL_DRIVERS!$C$34)+(('Museum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475868.1</v>
      </c>
      <c r="E9" s="1319" t="n">
        <f aca="false">((('Museum · Drivers'!D7*'Museum · Drivers'!D8)*'Museum · Drivers'!D10*'Museum · Drivers'!D14*1)+(('Museum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488873.1</v>
      </c>
      <c r="F9" s="1320" t="n">
        <f aca="false">((('Museum · Drivers'!D7*'Museum · Drivers'!D8)*'Museum · Drivers'!D10*'Museum · Drivers'!D14*1.1)+(('Museum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501878.1</v>
      </c>
      <c r="G9" s="1321" t="n">
        <f aca="false">((('Museum · Drivers'!D7*'Museum · Drivers'!D8)*'Museum · Drivers'!D10*'Museum · Drivers'!D14*1.2)+(('Museum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514883.1</v>
      </c>
    </row>
    <row r="10" customFormat="false" ht="120" hidden="false" customHeight="true" outlineLevel="0" collapsed="false">
      <c r="B10" s="113" t="s">
        <v>7223</v>
      </c>
      <c r="C10" s="360" t="n">
        <f aca="false">((('Museum · Drivers'!D7*'Museum · Drivers'!D8)*'Museum · Drivers'!D10*'Museum · Drivers'!D14)+(('Museum · Drivers'!D7*'Museum · Drivers'!D8)*'Museum · Drivers'!D11*'Museum · Drivers'!D15*UNIVERSAL_DRIVERS!$C$33)+(('Museum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462480.6</v>
      </c>
      <c r="D10" s="1280" t="n">
        <f aca="false">((('Museum · Drivers'!D7*'Museum · Drivers'!D8)*'Museum · Drivers'!D10*'Museum · Drivers'!D14)+(('Museum · Drivers'!D7*'Museum · Drivers'!D8)*'Museum · Drivers'!D11*'Museum · Drivers'!D15*UNIVERSAL_DRIVERS!$C$34)+(('Museum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475676.85</v>
      </c>
      <c r="E10" s="1319" t="n">
        <f aca="false">((('Museum · Drivers'!D7*'Museum · Drivers'!D8)*'Museum · Drivers'!D10*'Museum · Drivers'!D14)+(('Museum · Drivers'!D7*'Museum · Drivers'!D8)*'Museum · Drivers'!D11*'Museum · Drivers'!D15*1)+(('Museum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488873.1</v>
      </c>
      <c r="F10" s="1320" t="n">
        <f aca="false">((('Museum · Drivers'!D7*'Museum · Drivers'!D8)*'Museum · Drivers'!D10*'Museum · Drivers'!D14)+(('Museum · Drivers'!D7*'Museum · Drivers'!D8)*'Museum · Drivers'!D11*'Museum · Drivers'!D15*1.1)+(('Museum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502069.35</v>
      </c>
      <c r="G10" s="1321" t="n">
        <f aca="false">((('Museum · Drivers'!D7*'Museum · Drivers'!D8)*'Museum · Drivers'!D10*'Museum · Drivers'!D14)+(('Museum · Drivers'!D7*'Museum · Drivers'!D8)*'Museum · Drivers'!D11*'Museum · Drivers'!D15*1.2)+(('Museum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f>
        <v>515265.6</v>
      </c>
    </row>
    <row r="11" customFormat="false" ht="120" hidden="false" customHeight="true" outlineLevel="0" collapsed="false">
      <c r="B11" s="113" t="s">
        <v>7224</v>
      </c>
      <c r="C11" s="36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Drivers'!D18*UNIVERSAL_DRIVERS!$C$33*'Museum · Drivers'!D19)+((('Museum · Drivers'!D7*'Museum · Drivers'!D8)+(('Museum · Drivers'!C44+'Museum · Drivers'!C45*12+'Museum · Drivers'!C46)*'Museum · Drivers'!D24))*'Museum · Drivers'!D21*'Museum · Drivers'!D22)</f>
        <v>482487.66</v>
      </c>
      <c r="D11" s="128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Drivers'!D18*UNIVERSAL_DRIVERS!$C$34*'Museum · Drivers'!D19)+((('Museum · Drivers'!D7*'Museum · Drivers'!D8)+(('Museum · Drivers'!C44+'Museum · Drivers'!C45*12+'Museum · Drivers'!C46)*'Museum · Drivers'!D24))*'Museum · Drivers'!D21*'Museum · Drivers'!D22)</f>
        <v>485680.38</v>
      </c>
      <c r="E11" s="1319"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Drivers'!D18*1*'Museum · Drivers'!D19)+((('Museum · Drivers'!D7*'Museum · Drivers'!D8)+(('Museum · Drivers'!C44+'Museum · Drivers'!C45*12+'Museum · Drivers'!C46)*'Museum · Drivers'!D24))*'Museum · Drivers'!D21*'Museum · Drivers'!D22)</f>
        <v>488873.1</v>
      </c>
      <c r="F11" s="132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Drivers'!D18*1.1*'Museum · Drivers'!D19)+((('Museum · Drivers'!D7*'Museum · Drivers'!D8)+(('Museum · Drivers'!C44+'Museum · Drivers'!C45*12+'Museum · Drivers'!C46)*'Museum · Drivers'!D24))*'Museum · Drivers'!D21*'Museum · Drivers'!D22)</f>
        <v>492065.82</v>
      </c>
      <c r="G11" s="1321"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Drivers'!D18*1.2*'Museum · Drivers'!D19)+((('Museum · Drivers'!D7*'Museum · Drivers'!D8)+(('Museum · Drivers'!C44+'Museum · Drivers'!C45*12+'Museum · Drivers'!C46)*'Museum · Drivers'!D24))*'Museum · Drivers'!D21*'Museum · Drivers'!D22)</f>
        <v>495258.54</v>
      </c>
    </row>
    <row r="12" customFormat="false" ht="120" hidden="false" customHeight="true" outlineLevel="0" collapsed="false">
      <c r="B12" s="113" t="s">
        <v>7162</v>
      </c>
      <c r="C12" s="36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Drivers'!D21*UNIVERSAL_DRIVERS!$C$33*'Museum · Drivers'!D22)</f>
        <v>466524.06</v>
      </c>
      <c r="D12" s="128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Drivers'!D21*UNIVERSAL_DRIVERS!$C$34*'Museum · Drivers'!D22)</f>
        <v>477698.58</v>
      </c>
      <c r="E12" s="1319"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Drivers'!D21*1*'Museum · Drivers'!D22)</f>
        <v>488873.1</v>
      </c>
      <c r="F12" s="132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Drivers'!D21*1.1*'Museum · Drivers'!D22)</f>
        <v>500047.62</v>
      </c>
      <c r="G12" s="1321"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Drivers'!D21*1.2*'Museum · Drivers'!D22)</f>
        <v>511222.14</v>
      </c>
    </row>
    <row r="13" customFormat="false" ht="120" hidden="false" customHeight="true" outlineLevel="0" collapsed="false">
      <c r="B13" s="113" t="s">
        <v>7164</v>
      </c>
      <c r="C13" s="36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Drivers'!D22*UNIVERSAL_DRIVERS!$C$33)</f>
        <v>466524.06</v>
      </c>
      <c r="D13" s="128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Drivers'!D22*UNIVERSAL_DRIVERS!$C$34)</f>
        <v>477698.58</v>
      </c>
      <c r="E13" s="1319"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Drivers'!D22*1)</f>
        <v>488873.1</v>
      </c>
      <c r="F13" s="132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Drivers'!D22*1.1)</f>
        <v>500047.62</v>
      </c>
      <c r="G13" s="1321"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Drivers'!D24)*'Museum · Drivers'!D25))+((('Museum · Drivers'!D7*'Museum · Drivers'!D8)+(('Museum · Drivers'!C44+'Museum · Drivers'!C45*12+'Museum · Drivers'!C46)*'Museum · Drivers'!D24))*'Museum · Drivers'!D18*'Museum · Drivers'!D19)+((('Museum · Drivers'!D7*'Museum · Drivers'!D8)+(('Museum · Drivers'!C44+'Museum · Drivers'!C45*12+'Museum · Drivers'!C46)*'Museum · Drivers'!D24))*'Museum · Drivers'!D21*'Museum · Drivers'!D22*1.2)</f>
        <v>511222.14</v>
      </c>
    </row>
    <row r="14" customFormat="false" ht="120" hidden="false" customHeight="true" outlineLevel="0" collapsed="false">
      <c r="B14" s="113" t="s">
        <v>7225</v>
      </c>
      <c r="C14" s="36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Drivers'!D24*UNIVERSAL_DRIVERS!$C$33)*'Museum · Drivers'!D25))+((('Museum · Drivers'!D7*'Museum · Drivers'!D8)+(('Museum · Drivers'!C44+'Museum · Drivers'!C45*12+'Museum · Drivers'!C46)*'Museum · Drivers'!D24*UNIVERSAL_DRIVERS!$C$33))*'Museum · Drivers'!D18*'Museum · Drivers'!D19)+((('Museum · Drivers'!D7*'Museum · Drivers'!D8)+(('Museum · Drivers'!C44+'Museum · Drivers'!C45*12+'Museum · Drivers'!C46)*'Museum · Drivers'!D24*UNIVERSAL_DRIVERS!$C$33))*'Museum · Drivers'!D21*'Museum · Drivers'!D22)</f>
        <v>475375.98</v>
      </c>
      <c r="D14" s="128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Drivers'!D24*UNIVERSAL_DRIVERS!$C$34)*'Museum · Drivers'!D25))+((('Museum · Drivers'!D7*'Museum · Drivers'!D8)+(('Museum · Drivers'!C44+'Museum · Drivers'!C45*12+'Museum · Drivers'!C46)*'Museum · Drivers'!D24*UNIVERSAL_DRIVERS!$C$34))*'Museum · Drivers'!D18*'Museum · Drivers'!D19)+((('Museum · Drivers'!D7*'Museum · Drivers'!D8)+(('Museum · Drivers'!C44+'Museum · Drivers'!C45*12+'Museum · Drivers'!C46)*'Museum · Drivers'!D24*UNIVERSAL_DRIVERS!$C$34))*'Museum · Drivers'!D21*'Museum · Drivers'!D22)</f>
        <v>482124.54</v>
      </c>
      <c r="E14" s="1319"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Drivers'!D24*1)*'Museum · Drivers'!D25))+((('Museum · Drivers'!D7*'Museum · Drivers'!D8)+(('Museum · Drivers'!C44+'Museum · Drivers'!C45*12+'Museum · Drivers'!C46)*'Museum · Drivers'!D24*1))*'Museum · Drivers'!D18*'Museum · Drivers'!D19)+((('Museum · Drivers'!D7*'Museum · Drivers'!D8)+(('Museum · Drivers'!C44+'Museum · Drivers'!C45*12+'Museum · Drivers'!C46)*'Museum · Drivers'!D24*1))*'Museum · Drivers'!D21*'Museum · Drivers'!D22)</f>
        <v>488873.1</v>
      </c>
      <c r="F14" s="1320"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Drivers'!D24*1.1)*'Museum · Drivers'!D25))+((('Museum · Drivers'!D7*'Museum · Drivers'!D8)+(('Museum · Drivers'!C44+'Museum · Drivers'!C45*12+'Museum · Drivers'!C46)*'Museum · Drivers'!D24*1.1))*'Museum · Drivers'!D18*'Museum · Drivers'!D19)+((('Museum · Drivers'!D7*'Museum · Drivers'!D8)+(('Museum · Drivers'!C44+'Museum · Drivers'!C45*12+'Museum · Drivers'!C46)*'Museum · Drivers'!D24*1.1))*'Museum · Drivers'!D21*'Museum · Drivers'!D22)</f>
        <v>495621.66</v>
      </c>
      <c r="G14" s="1321" t="n">
        <f aca="false">((('Museum · Drivers'!D7*'Museum · Drivers'!D8)*'Museum · Drivers'!D10*'Museum · Drivers'!D14)+(('Museum · Drivers'!D7*'Museum · Drivers'!D8)*'Museum · Drivers'!D11*'Museum · Drivers'!D15)+(('Museum · Drivers'!D7*'Museum · Drivers'!D8)*'Museum · Drivers'!D12*'Museum · Drivers'!D16)+((('Museum · Drivers'!C44+'Museum · Drivers'!C45*12+'Museum · Drivers'!C46)*'Museum · Drivers'!D24*1.2)*'Museum · Drivers'!D25))+((('Museum · Drivers'!D7*'Museum · Drivers'!D8)+(('Museum · Drivers'!C44+'Museum · Drivers'!C45*12+'Museum · Drivers'!C46)*'Museum · Drivers'!D24*1.2))*'Museum · Drivers'!D18*'Museum · Drivers'!D19)+((('Museum · Drivers'!D7*'Museum · Drivers'!D8)+(('Museum · Drivers'!C44+'Museum · Drivers'!C45*12+'Museum · Drivers'!C46)*'Museum · Drivers'!D24*1.2))*'Museum · Drivers'!D21*'Museum · Drivers'!D22)</f>
        <v>502370.22</v>
      </c>
    </row>
    <row r="15" customFormat="false" ht="15" hidden="false" customHeight="true" outlineLevel="0" collapsed="false">
      <c r="B15" s="6"/>
      <c r="F15" s="6"/>
    </row>
    <row r="16" customFormat="false" ht="15" hidden="false" customHeight="true" outlineLevel="0" collapsed="false">
      <c r="B16" s="6"/>
      <c r="F16" s="6"/>
    </row>
    <row r="17" customFormat="false" ht="21.75" hidden="false" customHeight="true" outlineLevel="0" collapsed="false">
      <c r="B17" s="304" t="s">
        <v>2343</v>
      </c>
      <c r="C17" s="304"/>
      <c r="D17" s="304"/>
      <c r="E17" s="304"/>
      <c r="F17" s="304"/>
      <c r="G17" s="304"/>
      <c r="H17" s="304"/>
    </row>
    <row r="18" customFormat="false" ht="108.75" hidden="false" customHeight="true" outlineLevel="0" collapsed="false">
      <c r="B18" s="85" t="s">
        <v>7226</v>
      </c>
      <c r="C18" s="85"/>
      <c r="D18" s="85"/>
      <c r="E18" s="85"/>
      <c r="F18" s="85"/>
      <c r="G18" s="85"/>
    </row>
    <row r="19" customFormat="false" ht="15" hidden="false" customHeight="true" outlineLevel="0" collapsed="false">
      <c r="B19" s="85"/>
      <c r="C19" s="85"/>
      <c r="D19" s="85"/>
      <c r="E19" s="85"/>
      <c r="F19" s="85"/>
      <c r="G19" s="85"/>
    </row>
    <row r="20" customFormat="false" ht="15" hidden="false" customHeight="true" outlineLevel="0" collapsed="false">
      <c r="B20" s="85"/>
      <c r="C20" s="85"/>
      <c r="D20" s="85"/>
      <c r="E20" s="85"/>
      <c r="F20" s="85"/>
      <c r="G20" s="85"/>
    </row>
    <row r="21" customFormat="false" ht="15" hidden="false" customHeight="true" outlineLevel="0" collapsed="false">
      <c r="B21" s="85"/>
      <c r="C21" s="85"/>
      <c r="D21" s="85"/>
      <c r="E21" s="85"/>
      <c r="F21" s="85"/>
      <c r="G21" s="85"/>
    </row>
  </sheetData>
  <mergeCells count="6">
    <mergeCell ref="B2:F2"/>
    <mergeCell ref="G2:J2"/>
    <mergeCell ref="B3:J3"/>
    <mergeCell ref="B5:H5"/>
    <mergeCell ref="B17:H17"/>
    <mergeCell ref="B18:G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6" min="5" style="0" width="10"/>
    <col collapsed="false" customWidth="true" hidden="false" outlineLevel="0" max="7" min="7" style="0" width="9"/>
    <col collapsed="false" customWidth="true" hidden="false" outlineLevel="0" max="11" min="8" style="0" width="12"/>
  </cols>
  <sheetData>
    <row r="1" customFormat="false" ht="3.75" hidden="false" customHeight="true" outlineLevel="0" collapsed="false">
      <c r="B1" s="1"/>
      <c r="C1" s="2"/>
      <c r="D1" s="2"/>
      <c r="E1" s="1"/>
      <c r="F1" s="2"/>
      <c r="G1" s="2"/>
    </row>
    <row r="2" customFormat="false" ht="27.75" hidden="false" customHeight="true" outlineLevel="0" collapsed="false">
      <c r="B2" s="88" t="s">
        <v>7227</v>
      </c>
      <c r="C2" s="88"/>
      <c r="D2" s="88"/>
      <c r="E2" s="88"/>
      <c r="F2" s="89" t="s">
        <v>995</v>
      </c>
      <c r="G2" s="89"/>
    </row>
    <row r="3" customFormat="false" ht="18" hidden="false" customHeight="true" outlineLevel="0" collapsed="false">
      <c r="B3" s="90" t="s">
        <v>7228</v>
      </c>
      <c r="C3" s="90"/>
      <c r="D3" s="90"/>
      <c r="E3" s="90"/>
      <c r="F3" s="90"/>
      <c r="G3" s="90"/>
    </row>
    <row r="4" customFormat="false" ht="15" hidden="false" customHeight="true" outlineLevel="0" collapsed="false">
      <c r="B4" s="6"/>
      <c r="E4" s="6"/>
    </row>
    <row r="5" customFormat="false" ht="21.75" hidden="false" customHeight="true" outlineLevel="0" collapsed="false">
      <c r="B5" s="96" t="s">
        <v>4374</v>
      </c>
      <c r="C5" s="96"/>
      <c r="D5" s="96"/>
      <c r="E5" s="96"/>
      <c r="F5" s="96"/>
    </row>
    <row r="6" customFormat="false" ht="21.75" hidden="false" customHeight="true" outlineLevel="0" collapsed="false">
      <c r="B6" s="97" t="s">
        <v>206</v>
      </c>
      <c r="C6" s="98" t="s">
        <v>4375</v>
      </c>
      <c r="D6" s="98" t="s">
        <v>4140</v>
      </c>
      <c r="E6" s="99" t="s">
        <v>4141</v>
      </c>
      <c r="F6" s="98" t="s">
        <v>395</v>
      </c>
    </row>
    <row r="7" customFormat="false" ht="15" hidden="false" customHeight="true" outlineLevel="0" collapsed="false">
      <c r="B7" s="113" t="s">
        <v>7043</v>
      </c>
      <c r="C7" s="533" t="n">
        <f aca="false">'Museum · Drivers'!D7</f>
        <v>85</v>
      </c>
      <c r="D7" s="1421" t="s">
        <v>7229</v>
      </c>
      <c r="E7" s="1453"/>
      <c r="F7" s="634" t="s">
        <v>7230</v>
      </c>
    </row>
    <row r="8" customFormat="false" ht="15" hidden="false" customHeight="true" outlineLevel="0" collapsed="false">
      <c r="B8" s="113" t="s">
        <v>7203</v>
      </c>
      <c r="C8" s="544" t="n">
        <f aca="false">'Museum · Revenue'!E10/('Museum · Drivers'!D7*'Museum · Drivers'!D8)</f>
        <v>1.51228235294118</v>
      </c>
      <c r="D8" s="1421" t="s">
        <v>4144</v>
      </c>
      <c r="E8" s="1453"/>
      <c r="F8" s="634" t="s">
        <v>7231</v>
      </c>
    </row>
    <row r="9" customFormat="false" ht="15" hidden="false" customHeight="true" outlineLevel="0" collapsed="false">
      <c r="B9" s="113" t="s">
        <v>7232</v>
      </c>
      <c r="C9" s="1288" t="n">
        <f aca="false">'Museum · Revenue'!E18/'Museum · Revenue'!E10</f>
        <v>0</v>
      </c>
      <c r="D9" s="1421" t="s">
        <v>5299</v>
      </c>
      <c r="E9" s="1453"/>
      <c r="F9" s="634" t="s">
        <v>7057</v>
      </c>
    </row>
    <row r="10" customFormat="false" ht="15" hidden="false" customHeight="true" outlineLevel="0" collapsed="false">
      <c r="B10" s="113" t="s">
        <v>7233</v>
      </c>
      <c r="C10" s="533" t="n">
        <f aca="false">'Museum · Revenue'!E21/'Museum · Drivers'!D22</f>
        <v>7981.8</v>
      </c>
      <c r="D10" s="1421" t="s">
        <v>7234</v>
      </c>
      <c r="E10" s="1453"/>
      <c r="F10" s="634" t="s">
        <v>7235</v>
      </c>
    </row>
    <row r="11" customFormat="false" ht="15" hidden="false" customHeight="true" outlineLevel="0" collapsed="false">
      <c r="B11" s="113" t="s">
        <v>4070</v>
      </c>
      <c r="C11" s="1288" t="n">
        <f aca="false">'Museum · Costs'!C37/'Museum · Revenue'!E24</f>
        <v>0.49059132114244</v>
      </c>
      <c r="D11" s="1421" t="s">
        <v>6802</v>
      </c>
      <c r="E11" s="1453"/>
      <c r="F11" s="634" t="s">
        <v>7067</v>
      </c>
    </row>
    <row r="12" customFormat="false" ht="15" hidden="false" customHeight="true" outlineLevel="0" collapsed="false">
      <c r="B12" s="113" t="s">
        <v>7236</v>
      </c>
      <c r="C12" s="544" t="n">
        <f aca="false">'Museum · Revenue'!E24/1000</f>
        <v>488.8731</v>
      </c>
      <c r="D12" s="1421" t="s">
        <v>7237</v>
      </c>
      <c r="E12" s="1453"/>
      <c r="F12" s="634" t="s">
        <v>7238</v>
      </c>
    </row>
    <row r="13" customFormat="false" ht="15" hidden="false" customHeight="true" outlineLevel="0" collapsed="false">
      <c r="B13" s="6"/>
      <c r="E13" s="6"/>
    </row>
    <row r="14" customFormat="false" ht="15" hidden="false" customHeight="true" outlineLevel="0" collapsed="false">
      <c r="B14" s="6"/>
      <c r="E14" s="6"/>
    </row>
    <row r="15" customFormat="false" ht="21.75" hidden="false" customHeight="true" outlineLevel="0" collapsed="false">
      <c r="B15" s="72" t="s">
        <v>7239</v>
      </c>
      <c r="C15" s="72"/>
      <c r="D15" s="72"/>
      <c r="E15" s="72"/>
      <c r="F15" s="72"/>
    </row>
    <row r="16" customFormat="false" ht="120" hidden="false" customHeight="true" outlineLevel="0" collapsed="false">
      <c r="B16" s="1398" t="s">
        <v>7240</v>
      </c>
      <c r="C16" s="1398"/>
      <c r="D16" s="1398"/>
      <c r="E16" s="1398"/>
      <c r="F16" s="1398"/>
    </row>
    <row r="17" customFormat="false" ht="15" hidden="false" customHeight="true" outlineLevel="0" collapsed="false">
      <c r="B17" s="1398"/>
      <c r="C17" s="1398"/>
      <c r="D17" s="1398"/>
      <c r="E17" s="1398"/>
      <c r="F17" s="1398"/>
    </row>
    <row r="18" customFormat="false" ht="15" hidden="false" customHeight="true" outlineLevel="0" collapsed="false">
      <c r="B18" s="1398"/>
      <c r="C18" s="1398"/>
      <c r="D18" s="1398"/>
      <c r="E18" s="1398"/>
      <c r="F18" s="1398"/>
    </row>
    <row r="19" customFormat="false" ht="15" hidden="false" customHeight="true" outlineLevel="0" collapsed="false">
      <c r="B19" s="1398"/>
      <c r="C19" s="1398"/>
      <c r="D19" s="1398"/>
      <c r="E19" s="1398"/>
      <c r="F19" s="1398"/>
    </row>
    <row r="20" customFormat="false" ht="15" hidden="false" customHeight="true" outlineLevel="0" collapsed="false">
      <c r="B20" s="1398"/>
      <c r="C20" s="1398"/>
      <c r="D20" s="1398"/>
      <c r="E20" s="1398"/>
      <c r="F20" s="1398"/>
    </row>
    <row r="21" customFormat="false" ht="15" hidden="false" customHeight="true" outlineLevel="0" collapsed="false">
      <c r="B21" s="1398"/>
      <c r="C21" s="1398"/>
      <c r="D21" s="1398"/>
      <c r="E21" s="1398"/>
      <c r="F21" s="1398"/>
    </row>
    <row r="22" customFormat="false" ht="15" hidden="false" customHeight="true" outlineLevel="0" collapsed="false">
      <c r="B22" s="1398"/>
      <c r="C22" s="1398"/>
      <c r="D22" s="1398"/>
      <c r="E22" s="1398"/>
      <c r="F22" s="1398"/>
    </row>
  </sheetData>
  <mergeCells count="6">
    <mergeCell ref="B2:E2"/>
    <mergeCell ref="F2:G2"/>
    <mergeCell ref="B3:G3"/>
    <mergeCell ref="B5:F5"/>
    <mergeCell ref="B15:F15"/>
    <mergeCell ref="B16:F22"/>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1" min="5" style="0" width="9"/>
  </cols>
  <sheetData>
    <row r="1" customFormat="false" ht="3.75" hidden="false" customHeight="true" outlineLevel="0" collapsed="false">
      <c r="B1" s="1"/>
      <c r="C1" s="1"/>
      <c r="D1" s="2"/>
      <c r="E1" s="2"/>
      <c r="F1" s="2"/>
      <c r="G1" s="2"/>
      <c r="H1" s="2"/>
      <c r="I1" s="2"/>
      <c r="J1" s="2"/>
      <c r="K1" s="2"/>
    </row>
    <row r="2" customFormat="false" ht="27.75" hidden="false" customHeight="true" outlineLevel="0" collapsed="false">
      <c r="B2" s="88" t="s">
        <v>7241</v>
      </c>
      <c r="C2" s="88"/>
      <c r="D2" s="88"/>
      <c r="E2" s="88"/>
      <c r="F2" s="88"/>
      <c r="G2" s="88"/>
      <c r="H2" s="89" t="s">
        <v>995</v>
      </c>
      <c r="I2" s="89"/>
      <c r="J2" s="89"/>
      <c r="K2" s="89"/>
    </row>
    <row r="3" customFormat="false" ht="18" hidden="false" customHeight="true" outlineLevel="0" collapsed="false">
      <c r="B3" s="90" t="s">
        <v>6243</v>
      </c>
      <c r="C3" s="90"/>
      <c r="D3" s="90"/>
      <c r="E3" s="90"/>
      <c r="F3" s="90"/>
      <c r="G3" s="90"/>
      <c r="H3" s="90"/>
      <c r="I3" s="90"/>
      <c r="J3" s="90"/>
      <c r="K3" s="90"/>
    </row>
    <row r="4" customFormat="false" ht="15" hidden="false" customHeight="true" outlineLevel="0" collapsed="false">
      <c r="B4" s="6"/>
      <c r="C4" s="6"/>
    </row>
    <row r="5" customFormat="false" ht="33.75" hidden="false" customHeight="true" outlineLevel="0" collapsed="false">
      <c r="B5" s="96" t="s">
        <v>6244</v>
      </c>
      <c r="C5" s="96"/>
      <c r="D5" s="96"/>
      <c r="E5" s="96"/>
      <c r="F5" s="96"/>
      <c r="G5" s="96"/>
      <c r="H5" s="96"/>
      <c r="I5" s="96"/>
      <c r="J5" s="96"/>
      <c r="K5" s="96"/>
    </row>
    <row r="6" customFormat="false" ht="21.75" hidden="false" customHeight="true" outlineLevel="0" collapsed="false">
      <c r="B6" s="97" t="s">
        <v>4477</v>
      </c>
      <c r="C6" s="99" t="s">
        <v>4478</v>
      </c>
      <c r="D6" s="98" t="s">
        <v>86</v>
      </c>
    </row>
    <row r="7" customFormat="false" ht="15" hidden="false" customHeight="true" outlineLevel="0" collapsed="false">
      <c r="B7" s="113" t="s">
        <v>7242</v>
      </c>
      <c r="C7" s="1404" t="n">
        <f aca="false">'Museum · Revenue'!E24</f>
        <v>488873.1</v>
      </c>
      <c r="D7" s="634" t="s">
        <v>6246</v>
      </c>
    </row>
    <row r="8" customFormat="false" ht="15" hidden="false" customHeight="true" outlineLevel="0" collapsed="false">
      <c r="B8" s="113" t="s">
        <v>7243</v>
      </c>
      <c r="C8" s="1404" t="n">
        <f aca="false">'Museum · Costs'!C37</f>
        <v>239836.9</v>
      </c>
      <c r="D8" s="634" t="s">
        <v>6248</v>
      </c>
    </row>
    <row r="9" customFormat="false" ht="15" hidden="false" customHeight="true" outlineLevel="0" collapsed="false">
      <c r="B9" s="113" t="s">
        <v>7244</v>
      </c>
      <c r="C9" s="1404" t="n">
        <f aca="false">'Museum · 8-Year'!C11</f>
        <v>391098.48</v>
      </c>
      <c r="D9" s="634" t="s">
        <v>3457</v>
      </c>
    </row>
    <row r="10" customFormat="false" ht="15" hidden="false" customHeight="true" outlineLevel="0" collapsed="false">
      <c r="B10" s="113" t="s">
        <v>7245</v>
      </c>
      <c r="C10" s="1404" t="n">
        <f aca="false">'Museum · 8-Year'!D11</f>
        <v>453185.3637</v>
      </c>
      <c r="D10" s="634" t="s">
        <v>6251</v>
      </c>
    </row>
    <row r="11" customFormat="false" ht="15" hidden="false" customHeight="true" outlineLevel="0" collapsed="false">
      <c r="B11" s="113" t="s">
        <v>7246</v>
      </c>
      <c r="C11" s="1404" t="n">
        <f aca="false">'Museum · 8-Year'!E11</f>
        <v>518645.47179</v>
      </c>
      <c r="D11" s="634" t="s">
        <v>6253</v>
      </c>
    </row>
    <row r="12" customFormat="false" ht="15" hidden="false" customHeight="true" outlineLevel="0" collapsed="false">
      <c r="B12" s="113" t="s">
        <v>7247</v>
      </c>
      <c r="C12" s="1404" t="n">
        <f aca="false">'Museum · 8-Year'!F11</f>
        <v>534204.8359437</v>
      </c>
      <c r="D12" s="634" t="s">
        <v>137</v>
      </c>
    </row>
    <row r="13" customFormat="false" ht="15" hidden="false" customHeight="true" outlineLevel="0" collapsed="false">
      <c r="B13" s="113" t="s">
        <v>7248</v>
      </c>
      <c r="C13" s="1404" t="n">
        <f aca="false">'Museum · 8-Year'!G11</f>
        <v>550230.981022011</v>
      </c>
      <c r="D13" s="634" t="s">
        <v>6256</v>
      </c>
    </row>
    <row r="14" customFormat="false" ht="15" hidden="false" customHeight="true" outlineLevel="0" collapsed="false">
      <c r="B14" s="6"/>
      <c r="C14" s="6"/>
    </row>
    <row r="15" customFormat="false" ht="15" hidden="false" customHeight="true" outlineLevel="0" collapsed="false">
      <c r="B15" s="6"/>
      <c r="C15" s="6"/>
    </row>
    <row r="16" customFormat="false" ht="21.75" hidden="false" customHeight="true" outlineLevel="0" collapsed="false">
      <c r="B16" s="72" t="s">
        <v>4495</v>
      </c>
      <c r="C16" s="72"/>
      <c r="D16" s="72"/>
      <c r="E16" s="72"/>
      <c r="F16" s="72"/>
      <c r="G16" s="72"/>
      <c r="H16" s="72"/>
      <c r="I16" s="72"/>
      <c r="J16" s="72"/>
      <c r="K16" s="72"/>
    </row>
    <row r="17" customFormat="false" ht="120" hidden="false" customHeight="true" outlineLevel="0" collapsed="false">
      <c r="B17" s="1398" t="s">
        <v>7249</v>
      </c>
      <c r="C17" s="1398"/>
      <c r="D17" s="1398"/>
    </row>
    <row r="18" customFormat="false" ht="15" hidden="false" customHeight="true" outlineLevel="0" collapsed="false">
      <c r="B18" s="1398"/>
      <c r="C18" s="1398"/>
      <c r="D18" s="1398"/>
    </row>
    <row r="19" customFormat="false" ht="15" hidden="false" customHeight="true" outlineLevel="0" collapsed="false">
      <c r="B19" s="1398"/>
      <c r="C19" s="1398"/>
      <c r="D19" s="1398"/>
    </row>
    <row r="20" customFormat="false" ht="15" hidden="false" customHeight="true" outlineLevel="0" collapsed="false">
      <c r="B20" s="1398"/>
      <c r="C20" s="1398"/>
      <c r="D20" s="1398"/>
    </row>
    <row r="21" customFormat="false" ht="15" hidden="false" customHeight="true" outlineLevel="0" collapsed="false">
      <c r="B21" s="1398"/>
      <c r="C21" s="1398"/>
      <c r="D21" s="1398"/>
    </row>
    <row r="22" customFormat="false" ht="15" hidden="false" customHeight="true" outlineLevel="0" collapsed="false">
      <c r="B22" s="6"/>
      <c r="C22" s="6"/>
    </row>
    <row r="23" customFormat="false" ht="21.75" hidden="false" customHeight="true" outlineLevel="0" collapsed="false">
      <c r="B23" s="304" t="s">
        <v>6258</v>
      </c>
      <c r="C23" s="304"/>
      <c r="D23" s="304"/>
      <c r="E23" s="304"/>
      <c r="F23" s="304"/>
      <c r="G23" s="304"/>
      <c r="H23" s="304"/>
      <c r="I23" s="304"/>
      <c r="J23" s="304"/>
      <c r="K23" s="304"/>
    </row>
    <row r="24" customFormat="false" ht="108.75" hidden="false" customHeight="true" outlineLevel="0" collapsed="false">
      <c r="B24" s="85" t="s">
        <v>6259</v>
      </c>
      <c r="C24" s="85"/>
      <c r="D24" s="85"/>
    </row>
    <row r="25" customFormat="false" ht="15" hidden="false" customHeight="true" outlineLevel="0" collapsed="false">
      <c r="B25" s="85"/>
      <c r="C25" s="85"/>
      <c r="D25" s="85"/>
    </row>
    <row r="26" customFormat="false" ht="15" hidden="false" customHeight="true" outlineLevel="0" collapsed="false">
      <c r="B26" s="85"/>
      <c r="C26" s="85"/>
      <c r="D26" s="85"/>
    </row>
  </sheetData>
  <mergeCells count="8">
    <mergeCell ref="B2:G2"/>
    <mergeCell ref="H2:K2"/>
    <mergeCell ref="B3:K3"/>
    <mergeCell ref="B5:K5"/>
    <mergeCell ref="B16:K16"/>
    <mergeCell ref="B17:D21"/>
    <mergeCell ref="B23:K23"/>
    <mergeCell ref="B24:D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88" t="s">
        <v>7250</v>
      </c>
      <c r="C2" s="88"/>
      <c r="D2" s="88"/>
      <c r="E2" s="88"/>
      <c r="F2" s="88"/>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'Subleasing · Revenue'!E30</f>
        <v>321000</v>
      </c>
      <c r="D7" s="1155" t="n">
        <f aca="false">'Subleasing · Costs'!C16</f>
        <v>27920</v>
      </c>
      <c r="E7" s="577" t="n">
        <f aca="false">'Subleasing · Costs'!C29</f>
        <v>293080</v>
      </c>
      <c r="F7" s="1156" t="n">
        <f aca="false">'Subleasing · Costs'!C29/'Subleasing · Revenue'!E30</f>
        <v>0.913021806853583</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'Subleasing · Revenue'!E30*I9</f>
        <v>321000</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26" t="s">
        <v>7251</v>
      </c>
      <c r="C13" s="1161" t="n">
        <f aca="false">'Subleasing · Revenue'!E8</f>
        <v>250000</v>
      </c>
      <c r="D13" s="572" t="n">
        <f aca="false">C13/'Subleasing · Revenue'!E30</f>
        <v>0.778816199376947</v>
      </c>
      <c r="E13" s="314"/>
      <c r="F13" s="314"/>
      <c r="G13" s="314"/>
      <c r="H13" s="314"/>
      <c r="I13" s="314"/>
      <c r="J13" s="314"/>
    </row>
    <row r="14" customFormat="false" ht="15" hidden="false" customHeight="true" outlineLevel="0" collapsed="false">
      <c r="A14" s="314"/>
      <c r="B14" s="126" t="s">
        <v>7252</v>
      </c>
      <c r="C14" s="1161" t="n">
        <f aca="false">'Subleasing · Revenue'!E14</f>
        <v>0</v>
      </c>
      <c r="D14" s="572" t="n">
        <f aca="false">C14/'Subleasing · Revenue'!E30</f>
        <v>0</v>
      </c>
      <c r="E14" s="314"/>
      <c r="F14" s="314"/>
      <c r="G14" s="314"/>
      <c r="H14" s="314"/>
      <c r="I14" s="314"/>
      <c r="J14" s="314"/>
    </row>
    <row r="15" customFormat="false" ht="21.75" hidden="false" customHeight="true" outlineLevel="0" collapsed="false">
      <c r="A15" s="314"/>
      <c r="B15" s="1160" t="s">
        <v>7253</v>
      </c>
      <c r="C15" s="1161" t="n">
        <f aca="false">'Subleasing · Revenue'!E27</f>
        <v>0</v>
      </c>
      <c r="D15" s="572" t="n">
        <f aca="false">C15/'Subleasing · Revenue'!E30</f>
        <v>0</v>
      </c>
      <c r="E15" s="314"/>
      <c r="F15" s="314"/>
      <c r="G15" s="314"/>
      <c r="H15" s="314"/>
      <c r="I15" s="314"/>
      <c r="J15" s="314"/>
    </row>
    <row r="16" customFormat="false" ht="24" hidden="false" customHeight="true" outlineLevel="0" collapsed="false">
      <c r="A16" s="314"/>
      <c r="B16" s="117" t="s">
        <v>3455</v>
      </c>
      <c r="C16" s="546" t="n">
        <f aca="false">'Subleasing · Revenue'!E30</f>
        <v>321000</v>
      </c>
      <c r="D16" s="1162" t="n">
        <v>1</v>
      </c>
      <c r="E16" s="314"/>
      <c r="F16" s="314"/>
      <c r="G16" s="314"/>
      <c r="H16" s="314"/>
      <c r="I16" s="314"/>
      <c r="J16" s="314"/>
    </row>
    <row r="17" customFormat="false" ht="18" hidden="false" customHeight="true" outlineLevel="0" collapsed="false">
      <c r="A17" s="314"/>
      <c r="B17" s="317"/>
      <c r="C17" s="317"/>
      <c r="D17" s="317"/>
      <c r="E17" s="314"/>
      <c r="F17" s="314"/>
      <c r="G17" s="314"/>
      <c r="H17" s="314"/>
      <c r="I17" s="314"/>
      <c r="J17" s="314"/>
    </row>
    <row r="18" customFormat="false" ht="18" hidden="false" customHeight="true" outlineLevel="0" collapsed="false">
      <c r="A18" s="314"/>
      <c r="B18" s="317"/>
      <c r="C18" s="317"/>
      <c r="D18" s="317"/>
      <c r="E18" s="314"/>
      <c r="F18" s="314"/>
      <c r="G18" s="314"/>
      <c r="H18" s="314"/>
      <c r="I18" s="314"/>
      <c r="J18" s="314"/>
    </row>
    <row r="19" customFormat="false" ht="18" hidden="false" customHeight="true" outlineLevel="0" collapsed="false">
      <c r="A19" s="314"/>
      <c r="B19" s="317"/>
      <c r="C19" s="317"/>
      <c r="D19" s="317"/>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5" hidden="false" customHeight="true" outlineLevel="0" collapsed="false">
      <c r="A21" s="314"/>
      <c r="B21" s="317"/>
      <c r="C21" s="317"/>
      <c r="D21" s="317"/>
      <c r="E21" s="314"/>
      <c r="F21" s="314"/>
      <c r="G21" s="314"/>
      <c r="H21" s="314"/>
      <c r="I21" s="314"/>
      <c r="J21" s="314"/>
    </row>
    <row r="22" customFormat="false" ht="15"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19.5" hidden="false" customHeight="true" outlineLevel="0" collapsed="false">
      <c r="A24" s="314"/>
      <c r="B24" s="113" t="s">
        <v>3457</v>
      </c>
      <c r="C24" s="1161" t="n">
        <f aca="false">'Subleasing · 8-Year'!C11</f>
        <v>256800</v>
      </c>
      <c r="D24" s="317"/>
      <c r="E24" s="314"/>
      <c r="F24" s="314"/>
      <c r="G24" s="314"/>
      <c r="H24" s="314"/>
      <c r="I24" s="314"/>
      <c r="J24" s="314"/>
    </row>
    <row r="25" customFormat="false" ht="19.5" hidden="false" customHeight="true" outlineLevel="0" collapsed="false">
      <c r="A25" s="314"/>
      <c r="B25" s="113" t="s">
        <v>3458</v>
      </c>
      <c r="C25" s="1161" t="n">
        <f aca="false">'Subleasing · 8-Year'!F11</f>
        <v>350765.367</v>
      </c>
      <c r="D25" s="317"/>
      <c r="E25" s="314"/>
      <c r="F25" s="314"/>
      <c r="G25" s="314"/>
      <c r="H25" s="314"/>
      <c r="I25" s="314"/>
      <c r="J25" s="314"/>
    </row>
    <row r="26" customFormat="false" ht="19.5" hidden="false" customHeight="true" outlineLevel="0" collapsed="false">
      <c r="A26" s="314"/>
      <c r="B26" s="113" t="s">
        <v>3459</v>
      </c>
      <c r="C26" s="1161" t="n">
        <f aca="false">'Subleasing · 8-Year'!J11</f>
        <v>414528.986341453</v>
      </c>
      <c r="D26" s="317"/>
      <c r="E26" s="314"/>
      <c r="F26" s="314"/>
      <c r="G26" s="314"/>
      <c r="H26" s="314"/>
      <c r="I26" s="314"/>
      <c r="J26" s="314"/>
    </row>
    <row r="27" customFormat="false" ht="15" hidden="false" customHeight="true" outlineLevel="0" collapsed="false">
      <c r="A27" s="314"/>
      <c r="B27" s="81" t="s">
        <v>3460</v>
      </c>
      <c r="C27" s="782" t="n">
        <f aca="false">'Subleasing · 8-Year'!K11</f>
        <v>2814687.23463937</v>
      </c>
      <c r="D27" s="317"/>
      <c r="E27" s="314"/>
      <c r="F27" s="314"/>
      <c r="G27" s="314"/>
      <c r="H27" s="314"/>
      <c r="I27" s="314"/>
      <c r="J27" s="314"/>
    </row>
    <row r="28" customFormat="false" ht="21.75" hidden="false" customHeight="true" outlineLevel="0" collapsed="false">
      <c r="A28" s="314"/>
      <c r="B28" s="81" t="s">
        <v>3461</v>
      </c>
      <c r="C28" s="1163" t="n">
        <f aca="false">'Subleasing · 8-Year'!K20</f>
        <v>2567208.26495212</v>
      </c>
      <c r="D28" s="317"/>
      <c r="E28" s="314"/>
      <c r="F28" s="314"/>
      <c r="G28" s="314"/>
      <c r="H28" s="314"/>
      <c r="I28" s="314"/>
      <c r="J28" s="314"/>
    </row>
    <row r="29" customFormat="false" ht="48.75" hidden="false" customHeight="true" outlineLevel="0" collapsed="false">
      <c r="A29" s="314"/>
      <c r="B29" s="1164" t="s">
        <v>3462</v>
      </c>
      <c r="C29" s="1165" t="n">
        <f aca="false">('Subleasing · 8-Year'!J11/'Subleasing · 8-Year'!C11)^(1/7)-1</f>
        <v>0.0708004745979443</v>
      </c>
      <c r="D29" s="317"/>
      <c r="E29" s="314"/>
      <c r="F29" s="314"/>
      <c r="G29" s="314"/>
      <c r="H29" s="314"/>
      <c r="I29" s="314"/>
      <c r="J29" s="314"/>
    </row>
    <row r="30" customFormat="false" ht="93.75" hidden="false" customHeight="true" outlineLevel="0" collapsed="false">
      <c r="A30" s="314"/>
      <c r="B30" s="907" t="s">
        <v>3463</v>
      </c>
      <c r="C30" s="317"/>
      <c r="D30" s="317"/>
      <c r="E30" s="314"/>
      <c r="F30" s="314"/>
      <c r="G30" s="314"/>
      <c r="H30" s="314"/>
      <c r="I30" s="314"/>
      <c r="J30" s="314"/>
    </row>
    <row r="31" customFormat="false" ht="21.75" hidden="false" customHeight="true" outlineLevel="0" collapsed="false">
      <c r="A31" s="314"/>
      <c r="B31" s="96" t="s">
        <v>4504</v>
      </c>
      <c r="C31" s="96"/>
      <c r="D31" s="96"/>
      <c r="E31" s="96"/>
      <c r="F31" s="96"/>
      <c r="G31" s="96"/>
      <c r="H31" s="96"/>
      <c r="I31" s="96"/>
      <c r="J31" s="314"/>
    </row>
    <row r="32" customFormat="false" ht="21.75" hidden="false" customHeight="true" outlineLevel="0" collapsed="false">
      <c r="A32" s="314"/>
      <c r="B32" s="97" t="s">
        <v>3465</v>
      </c>
      <c r="C32" s="319" t="s">
        <v>3466</v>
      </c>
      <c r="D32" s="319"/>
      <c r="E32" s="319"/>
      <c r="F32" s="319"/>
      <c r="G32" s="319"/>
      <c r="H32" s="319"/>
      <c r="I32" s="314"/>
      <c r="J32" s="314"/>
    </row>
    <row r="33" customFormat="false" ht="48.75" hidden="false" customHeight="true" outlineLevel="0" collapsed="false">
      <c r="A33" s="314"/>
      <c r="B33" s="1160" t="s">
        <v>4505</v>
      </c>
      <c r="C33" s="134" t="s">
        <v>4506</v>
      </c>
      <c r="D33" s="134"/>
      <c r="E33" s="134"/>
      <c r="F33" s="134"/>
      <c r="G33" s="134"/>
      <c r="H33" s="134"/>
      <c r="I33" s="314"/>
      <c r="J33" s="314"/>
    </row>
    <row r="34" customFormat="false" ht="48.75" hidden="false" customHeight="true" outlineLevel="0" collapsed="false">
      <c r="A34" s="314"/>
      <c r="B34" s="1160" t="s">
        <v>4507</v>
      </c>
      <c r="C34" s="134" t="s">
        <v>4508</v>
      </c>
      <c r="D34" s="134"/>
      <c r="E34" s="134"/>
      <c r="F34" s="134"/>
      <c r="G34" s="134"/>
      <c r="H34" s="134"/>
      <c r="I34" s="314"/>
      <c r="J34" s="314"/>
    </row>
    <row r="35" customFormat="false" ht="63.75" hidden="false" customHeight="true" outlineLevel="0" collapsed="false">
      <c r="A35" s="314"/>
      <c r="B35" s="1160" t="s">
        <v>2487</v>
      </c>
      <c r="C35" s="134" t="s">
        <v>4509</v>
      </c>
      <c r="D35" s="134"/>
      <c r="E35" s="134"/>
      <c r="F35" s="134"/>
      <c r="G35" s="134"/>
      <c r="H35" s="134"/>
      <c r="I35" s="314"/>
      <c r="J35" s="314"/>
    </row>
    <row r="36" customFormat="false" ht="63.75" hidden="false" customHeight="true" outlineLevel="0" collapsed="false">
      <c r="A36" s="314"/>
      <c r="B36" s="1160" t="s">
        <v>4510</v>
      </c>
      <c r="C36" s="134" t="s">
        <v>4511</v>
      </c>
      <c r="D36" s="134"/>
      <c r="E36" s="134"/>
      <c r="F36" s="134"/>
      <c r="G36" s="134"/>
      <c r="H36" s="134"/>
      <c r="I36" s="314"/>
      <c r="J36" s="314"/>
    </row>
    <row r="37" customFormat="false" ht="63.75" hidden="false" customHeight="true" outlineLevel="0" collapsed="false">
      <c r="A37" s="314"/>
      <c r="B37" s="1160" t="s">
        <v>4512</v>
      </c>
      <c r="C37" s="134" t="s">
        <v>4513</v>
      </c>
      <c r="D37" s="134"/>
      <c r="E37" s="134"/>
      <c r="F37" s="134"/>
      <c r="G37" s="134"/>
      <c r="H37" s="134"/>
      <c r="I37" s="314"/>
      <c r="J37" s="314"/>
    </row>
    <row r="38" customFormat="false" ht="48.75" hidden="false" customHeight="true" outlineLevel="0" collapsed="false">
      <c r="B38" s="1160" t="s">
        <v>4514</v>
      </c>
      <c r="C38" s="134" t="s">
        <v>4515</v>
      </c>
      <c r="D38" s="134"/>
      <c r="E38" s="134"/>
      <c r="F38" s="134"/>
      <c r="G38" s="134"/>
      <c r="H38" s="134"/>
    </row>
    <row r="39" customFormat="false" ht="63.75" hidden="false" customHeight="true" outlineLevel="0" collapsed="false">
      <c r="B39" s="1160" t="s">
        <v>4516</v>
      </c>
      <c r="C39" s="134" t="s">
        <v>3480</v>
      </c>
      <c r="D39" s="134"/>
      <c r="E39" s="134"/>
      <c r="F39" s="134"/>
      <c r="G39" s="134"/>
      <c r="H39" s="134"/>
    </row>
    <row r="40" customFormat="false" ht="48.75" hidden="false" customHeight="true" outlineLevel="0" collapsed="false">
      <c r="B40" s="1160" t="s">
        <v>4517</v>
      </c>
      <c r="C40" s="134" t="s">
        <v>4518</v>
      </c>
      <c r="D40" s="134"/>
      <c r="E40" s="134"/>
      <c r="F40" s="134"/>
      <c r="G40" s="134"/>
      <c r="H40" s="13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617</v>
      </c>
      <c r="D52" s="99" t="s">
        <v>4531</v>
      </c>
      <c r="E52" s="98" t="s">
        <v>7254</v>
      </c>
      <c r="F52" s="98" t="s">
        <v>778</v>
      </c>
    </row>
    <row r="53" customFormat="false" ht="15" hidden="false" customHeight="true" outlineLevel="0" collapsed="false">
      <c r="B53" s="113" t="s">
        <v>3502</v>
      </c>
      <c r="C53" s="1161" t="n">
        <f aca="false">'Subleasing · Revenue'!E30</f>
        <v>321000</v>
      </c>
      <c r="D53" s="386" t="n">
        <f aca="false">SUM('Master Revenue'!D7:D15)</f>
        <v>6672022.15</v>
      </c>
      <c r="E53" s="1166" t="n">
        <f aca="false">C53/D53</f>
        <v>0.0481113510691807</v>
      </c>
      <c r="F53" s="107" t="s">
        <v>4533</v>
      </c>
    </row>
    <row r="54" customFormat="false" ht="15" hidden="false" customHeight="true" outlineLevel="0" collapsed="false">
      <c r="B54" s="113" t="s">
        <v>3504</v>
      </c>
      <c r="C54" s="1161" t="n">
        <f aca="false">'Subleasing · Costs'!C29</f>
        <v>293080</v>
      </c>
      <c r="D54" s="386" t="n">
        <f aca="false">SUM('Master Cost'!I7:I15)</f>
        <v>4022722.921025</v>
      </c>
      <c r="E54" s="1166" t="n">
        <f aca="false">C54/D54</f>
        <v>0.0728561240119721</v>
      </c>
      <c r="F54" s="107" t="s">
        <v>4534</v>
      </c>
    </row>
    <row r="55" customFormat="false" ht="15" hidden="false" customHeight="true" outlineLevel="0" collapsed="false">
      <c r="B55" s="113" t="s">
        <v>3460</v>
      </c>
      <c r="C55" s="1161" t="n">
        <f aca="false">'Subleasing · 8-Year'!K11</f>
        <v>2814687.23463937</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200000</v>
      </c>
      <c r="D59" s="134" t="s">
        <v>4538</v>
      </c>
      <c r="E59" s="134"/>
      <c r="F59" s="134"/>
      <c r="G59" s="134"/>
      <c r="H59" s="134"/>
    </row>
    <row r="60" customFormat="false" ht="15" hidden="false" customHeight="true" outlineLevel="0" collapsed="false">
      <c r="B60" s="126" t="s">
        <v>3511</v>
      </c>
      <c r="C60" s="1161" t="n">
        <f aca="false">'Subleasing · Cash Flow'!K28</f>
        <v>2564493.20888488</v>
      </c>
      <c r="D60" s="134" t="s">
        <v>3512</v>
      </c>
      <c r="E60" s="134"/>
      <c r="F60" s="134"/>
      <c r="G60" s="134"/>
      <c r="H60" s="134"/>
    </row>
    <row r="61" customFormat="false" ht="15" hidden="false" customHeight="true" outlineLevel="0" collapsed="false">
      <c r="B61" s="113" t="s">
        <v>3513</v>
      </c>
      <c r="C61" s="1161" t="n">
        <f aca="false">'Subleasing · Cash Flow'!F28</f>
        <v>320189.513982466</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0.624630074584368</v>
      </c>
      <c r="D63" s="134" t="s">
        <v>3516</v>
      </c>
      <c r="E63" s="134"/>
      <c r="F63" s="134"/>
      <c r="G63" s="134"/>
      <c r="H63" s="134"/>
    </row>
    <row r="64" customFormat="false" ht="15" hidden="false" customHeight="true" outlineLevel="0" collapsed="false">
      <c r="B64" s="113" t="s">
        <v>3517</v>
      </c>
      <c r="C64" s="1169" t="n">
        <f aca="false">C61/C59</f>
        <v>1.60094756991233</v>
      </c>
      <c r="D64" s="134" t="s">
        <v>3518</v>
      </c>
      <c r="E64" s="134"/>
      <c r="F64" s="134"/>
      <c r="G64" s="134"/>
      <c r="H64" s="134"/>
    </row>
    <row r="65" customFormat="false" ht="15" hidden="false" customHeight="true" outlineLevel="0" collapsed="false">
      <c r="B65" s="113" t="s">
        <v>3519</v>
      </c>
      <c r="C65" s="1170" t="n">
        <f aca="false">(C60+C59)/C59</f>
        <v>13.8224660444244</v>
      </c>
      <c r="D65" s="134" t="s">
        <v>3520</v>
      </c>
      <c r="E65" s="134"/>
      <c r="F65" s="134"/>
      <c r="G65" s="134"/>
      <c r="H65" s="134"/>
    </row>
    <row r="66" customFormat="false" ht="15" hidden="false" customHeight="true" outlineLevel="0" collapsed="false">
      <c r="B66" s="113" t="s">
        <v>3523</v>
      </c>
      <c r="C66" s="1169" t="n">
        <f aca="false">C60/C59</f>
        <v>12.8224660444244</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48.75" hidden="false" customHeight="true" outlineLevel="0" collapsed="false">
      <c r="B70" s="1171" t="s">
        <v>7255</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9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9"/>
    <col collapsed="false" customWidth="true" hidden="false" outlineLevel="0" max="8" min="8" style="0" width="28"/>
    <col collapsed="false" customWidth="true" hidden="false" outlineLevel="0" max="10" min="9" style="0" width="9"/>
    <col collapsed="false" customWidth="true" hidden="false" outlineLevel="0" max="11" min="11" style="0" width="12"/>
  </cols>
  <sheetData>
    <row r="1" customFormat="false" ht="3.75" hidden="false" customHeight="true" outlineLevel="0" collapsed="false">
      <c r="B1" s="6"/>
      <c r="E1" s="6"/>
    </row>
    <row r="2" customFormat="false" ht="33.75" hidden="false" customHeight="true" outlineLevel="0" collapsed="false">
      <c r="B2" s="1454" t="s">
        <v>7256</v>
      </c>
      <c r="C2" s="1454"/>
      <c r="D2" s="1454"/>
      <c r="E2" s="1454"/>
      <c r="F2" s="1454"/>
      <c r="G2" s="1455" t="s">
        <v>3432</v>
      </c>
      <c r="H2" s="1455"/>
      <c r="I2" s="1455"/>
      <c r="J2" s="1455"/>
    </row>
    <row r="3" customFormat="false" ht="48.75" hidden="false" customHeight="true" outlineLevel="0" collapsed="false">
      <c r="B3" s="1454" t="s">
        <v>7257</v>
      </c>
      <c r="C3" s="1454"/>
      <c r="D3" s="1454"/>
      <c r="E3" s="1454"/>
      <c r="F3" s="1454"/>
      <c r="G3" s="1454"/>
      <c r="H3" s="1454"/>
      <c r="I3" s="1454"/>
      <c r="J3" s="1454"/>
    </row>
    <row r="4" customFormat="false" ht="19.5" hidden="false" customHeight="true" outlineLevel="0" collapsed="false">
      <c r="B4" s="6"/>
      <c r="E4" s="6"/>
      <c r="G4" s="1455" t="s">
        <v>4543</v>
      </c>
      <c r="H4" s="1455"/>
    </row>
    <row r="5" customFormat="false" ht="33.75" hidden="false" customHeight="true" outlineLevel="0" collapsed="false">
      <c r="B5" s="1454" t="s">
        <v>4544</v>
      </c>
      <c r="C5" s="1454"/>
      <c r="D5" s="1454"/>
      <c r="E5" s="1454"/>
      <c r="G5" s="0" t="str">
        <f aca="false">PROPER('Subleasing · SUMMARY'!H7)</f>
        <v>Base</v>
      </c>
      <c r="H5" s="0" t="s">
        <v>7258</v>
      </c>
    </row>
    <row r="6" customFormat="false" ht="19.5" hidden="false" customHeight="true" outlineLevel="0" collapsed="false">
      <c r="B6" s="6" t="s">
        <v>392</v>
      </c>
      <c r="C6" s="0" t="s">
        <v>2444</v>
      </c>
      <c r="D6" s="0" t="s">
        <v>203</v>
      </c>
      <c r="E6" s="6" t="s">
        <v>2445</v>
      </c>
    </row>
    <row r="7" customFormat="false" ht="16.5" hidden="false" customHeight="true" outlineLevel="0" collapsed="false">
      <c r="B7" s="6" t="s">
        <v>7259</v>
      </c>
      <c r="C7" s="0" t="n">
        <v>700000</v>
      </c>
      <c r="D7" s="0" t="n">
        <v>700000</v>
      </c>
      <c r="E7" s="6" t="n">
        <v>700000</v>
      </c>
      <c r="H7" s="0" t="s">
        <v>7260</v>
      </c>
    </row>
    <row r="8" customFormat="false" ht="16.5" hidden="false" customHeight="true" outlineLevel="0" collapsed="false">
      <c r="B8" s="6" t="s">
        <v>7261</v>
      </c>
      <c r="C8" s="0" t="n">
        <v>6300</v>
      </c>
      <c r="D8" s="0" t="n">
        <v>6300</v>
      </c>
      <c r="E8" s="6" t="n">
        <v>6300</v>
      </c>
      <c r="H8" s="0" t="s">
        <v>7262</v>
      </c>
    </row>
    <row r="9" customFormat="false" ht="16.5" hidden="false" customHeight="true" outlineLevel="0" collapsed="false">
      <c r="B9" s="6" t="s">
        <v>7263</v>
      </c>
      <c r="C9" s="0" t="n">
        <f aca="false">C7/C8</f>
        <v>111.111111111111</v>
      </c>
      <c r="D9" s="0" t="n">
        <f aca="false">D7/D8</f>
        <v>111.111111111111</v>
      </c>
      <c r="E9" s="6" t="n">
        <f aca="false">E7/E8</f>
        <v>111.111111111111</v>
      </c>
      <c r="H9" s="0" t="s">
        <v>7264</v>
      </c>
    </row>
    <row r="10" customFormat="false" ht="16.5" hidden="false" customHeight="true" outlineLevel="0" collapsed="false">
      <c r="B10" s="6"/>
      <c r="E10" s="6"/>
    </row>
    <row r="11" customFormat="false" ht="15" hidden="false" customHeight="true" outlineLevel="0" collapsed="false">
      <c r="B11" s="6" t="s">
        <v>7265</v>
      </c>
      <c r="E11" s="6"/>
    </row>
    <row r="12" customFormat="false" ht="16.5" hidden="false" customHeight="true" outlineLevel="0" collapsed="false">
      <c r="B12" s="6" t="s">
        <v>7266</v>
      </c>
      <c r="C12" s="0" t="n">
        <v>212500</v>
      </c>
      <c r="D12" s="0" t="n">
        <v>250000</v>
      </c>
      <c r="E12" s="6" t="n">
        <v>275000</v>
      </c>
      <c r="H12" s="0" t="s">
        <v>7267</v>
      </c>
    </row>
    <row r="13" customFormat="false" ht="16.5" hidden="false" customHeight="true" outlineLevel="0" collapsed="false">
      <c r="B13" s="6" t="s">
        <v>7268</v>
      </c>
      <c r="C13" s="0" t="n">
        <v>0.85</v>
      </c>
      <c r="D13" s="0" t="n">
        <v>1</v>
      </c>
      <c r="E13" s="6" t="n">
        <v>1.1</v>
      </c>
      <c r="H13" s="0" t="s">
        <v>7269</v>
      </c>
    </row>
    <row r="14" customFormat="false" ht="16.5" hidden="false" customHeight="true" outlineLevel="0" collapsed="false">
      <c r="B14" s="6"/>
      <c r="E14" s="6"/>
    </row>
    <row r="15" customFormat="false" ht="33.75" hidden="false" customHeight="true" outlineLevel="0" collapsed="false">
      <c r="B15" s="6" t="s">
        <v>7270</v>
      </c>
      <c r="E15" s="6"/>
    </row>
    <row r="16" customFormat="false" ht="16.5" hidden="false" customHeight="true" outlineLevel="0" collapsed="false">
      <c r="B16" s="6" t="s">
        <v>7271</v>
      </c>
      <c r="C16" s="0" t="n">
        <v>425</v>
      </c>
      <c r="D16" s="0" t="n">
        <v>500</v>
      </c>
      <c r="E16" s="6" t="n">
        <v>550</v>
      </c>
      <c r="H16" s="0" t="s">
        <v>7272</v>
      </c>
    </row>
    <row r="17" customFormat="false" ht="15" hidden="false" customHeight="true" outlineLevel="0" collapsed="false">
      <c r="B17" s="6" t="s">
        <v>7273</v>
      </c>
      <c r="C17" s="0" t="n">
        <v>1.21</v>
      </c>
      <c r="D17" s="0" t="n">
        <v>1.42</v>
      </c>
      <c r="E17" s="6" t="n">
        <v>1.56</v>
      </c>
      <c r="H17" s="0" t="s">
        <v>7274</v>
      </c>
    </row>
    <row r="18" customFormat="false" ht="16.5" hidden="false" customHeight="true" outlineLevel="0" collapsed="false">
      <c r="B18" s="6" t="s">
        <v>7275</v>
      </c>
      <c r="C18" s="0" t="n">
        <f aca="false">C9*C17</f>
        <v>134.444444444444</v>
      </c>
      <c r="D18" s="0" t="n">
        <f aca="false">D9*D17</f>
        <v>157.777777777778</v>
      </c>
      <c r="E18" s="6" t="n">
        <f aca="false">E9*E17</f>
        <v>173.333333333333</v>
      </c>
      <c r="H18" s="0" t="s">
        <v>7276</v>
      </c>
    </row>
    <row r="19" customFormat="false" ht="16.5" hidden="false" customHeight="true" outlineLevel="0" collapsed="false">
      <c r="B19" s="6" t="s">
        <v>7277</v>
      </c>
      <c r="C19" s="0" t="n">
        <v>0.81</v>
      </c>
      <c r="D19" s="0" t="n">
        <v>0.9</v>
      </c>
      <c r="E19" s="6" t="n">
        <v>0.972</v>
      </c>
      <c r="H19" s="0" t="s">
        <v>7278</v>
      </c>
    </row>
    <row r="20" customFormat="false" ht="16.5" hidden="false" customHeight="true" outlineLevel="0" collapsed="false">
      <c r="B20" s="6"/>
      <c r="E20" s="6"/>
    </row>
    <row r="21" customFormat="false" ht="16.5" hidden="false" customHeight="true" outlineLevel="0" collapsed="false">
      <c r="B21" s="6"/>
      <c r="E21" s="6"/>
    </row>
    <row r="22" customFormat="false" ht="16.5" hidden="false" customHeight="true" outlineLevel="0" collapsed="false">
      <c r="B22" s="6" t="s">
        <v>6375</v>
      </c>
      <c r="E22" s="6"/>
    </row>
    <row r="23" customFormat="false" ht="15" hidden="false" customHeight="true" outlineLevel="0" collapsed="false">
      <c r="B23" s="6" t="s">
        <v>7279</v>
      </c>
      <c r="C23" s="0" t="n">
        <f aca="false">IF($G$5="Bear",C12,IF($G$5="Bull",E12,D12))</f>
        <v>250000</v>
      </c>
      <c r="E23" s="6"/>
      <c r="H23" s="0" t="s">
        <v>7280</v>
      </c>
    </row>
    <row r="24" customFormat="false" ht="16.5" hidden="false" customHeight="true" outlineLevel="0" collapsed="false">
      <c r="B24" s="6" t="s">
        <v>7281</v>
      </c>
      <c r="C24" s="0" t="n">
        <f aca="false">IF($G$5="Bear",C13,IF($G$5="Bull",E13,D13))</f>
        <v>1</v>
      </c>
      <c r="E24" s="6"/>
      <c r="H24" s="0" t="s">
        <v>7280</v>
      </c>
    </row>
    <row r="25" customFormat="false" ht="16.5" hidden="false" customHeight="true" outlineLevel="0" collapsed="false">
      <c r="B25" s="6" t="s">
        <v>7282</v>
      </c>
      <c r="C25" s="0" t="n">
        <f aca="false">IF($G$5="Bear",C16,IF($G$5="Bull",E16,D16))</f>
        <v>500</v>
      </c>
      <c r="E25" s="6"/>
      <c r="H25" s="0" t="s">
        <v>7283</v>
      </c>
    </row>
    <row r="26" customFormat="false" ht="16.5" hidden="false" customHeight="true" outlineLevel="0" collapsed="false">
      <c r="B26" s="6" t="s">
        <v>7284</v>
      </c>
      <c r="C26" s="0" t="n">
        <f aca="false">IF($G$5="Bear",C17,IF($G$5="Bull",E17,D17))</f>
        <v>1.42</v>
      </c>
      <c r="E26" s="6"/>
      <c r="H26" s="0" t="s">
        <v>7285</v>
      </c>
    </row>
    <row r="27" customFormat="false" ht="16.5" hidden="false" customHeight="true" outlineLevel="0" collapsed="false">
      <c r="B27" s="6" t="s">
        <v>7286</v>
      </c>
      <c r="C27" s="0" t="n">
        <f aca="false">IF($G$5="Bear",C18,IF($G$5="Bull",E18,D18))</f>
        <v>157.777777777778</v>
      </c>
      <c r="E27" s="6"/>
      <c r="H27" s="0" t="s">
        <v>7287</v>
      </c>
    </row>
    <row r="28" customFormat="false" ht="16.5" hidden="false" customHeight="true" outlineLevel="0" collapsed="false">
      <c r="B28" s="6" t="s">
        <v>7288</v>
      </c>
      <c r="C28" s="0" t="n">
        <f aca="false">IF($G$5="Bear",C19,IF($G$5="Bull",E19,D19))</f>
        <v>0.9</v>
      </c>
      <c r="E28" s="6"/>
      <c r="H28" s="0" t="s">
        <v>7283</v>
      </c>
    </row>
    <row r="29" customFormat="false" ht="15" hidden="false" customHeight="true" outlineLevel="0" collapsed="false">
      <c r="B29" s="6"/>
      <c r="E29" s="6"/>
    </row>
    <row r="30" customFormat="false" ht="16.5" hidden="false" customHeight="true" outlineLevel="0" collapsed="false">
      <c r="B30" s="6" t="s">
        <v>7289</v>
      </c>
      <c r="E30" s="6"/>
    </row>
    <row r="31" customFormat="false" ht="16.5" hidden="false" customHeight="true" outlineLevel="0" collapsed="false">
      <c r="B31" s="6" t="s">
        <v>7290</v>
      </c>
      <c r="C31" s="0" t="n">
        <f aca="false">C23*C24</f>
        <v>250000</v>
      </c>
      <c r="E31" s="6"/>
      <c r="H31" s="0" t="s">
        <v>7291</v>
      </c>
    </row>
    <row r="32" customFormat="false" ht="16.5" hidden="false" customHeight="true" outlineLevel="0" collapsed="false">
      <c r="B32" s="6" t="s">
        <v>7292</v>
      </c>
      <c r="C32" s="0" t="n">
        <f aca="false">C25*C27*C28</f>
        <v>71000</v>
      </c>
      <c r="E32" s="6"/>
      <c r="H32" s="0" t="s">
        <v>7293</v>
      </c>
    </row>
    <row r="33" customFormat="false" ht="16.5" hidden="false" customHeight="true" outlineLevel="0" collapsed="false">
      <c r="B33" s="6" t="s">
        <v>7294</v>
      </c>
      <c r="C33" s="0" t="n">
        <f aca="false">C31+C32</f>
        <v>321000</v>
      </c>
      <c r="E33" s="6"/>
      <c r="H33" s="0" t="s">
        <v>7295</v>
      </c>
    </row>
    <row r="34" customFormat="false" ht="16.5" hidden="false" customHeight="true" outlineLevel="0" collapsed="false">
      <c r="B34" s="6"/>
      <c r="E34" s="6"/>
    </row>
    <row r="35" customFormat="false" ht="25.5" hidden="false" customHeight="true" outlineLevel="0" collapsed="false">
      <c r="B35" s="6" t="s">
        <v>7296</v>
      </c>
      <c r="E35" s="6"/>
    </row>
    <row r="36" customFormat="false" ht="21.75" hidden="false" customHeight="true" outlineLevel="0" collapsed="false">
      <c r="B36" s="333"/>
      <c r="C36" s="333"/>
      <c r="D36" s="333"/>
      <c r="E36" s="333"/>
      <c r="F36" s="333"/>
      <c r="G36" s="333"/>
      <c r="H36" s="333"/>
    </row>
    <row r="37" customFormat="false" ht="18" hidden="false" customHeight="true" outlineLevel="0" collapsed="false">
      <c r="B37" s="6" t="s">
        <v>7297</v>
      </c>
      <c r="C37" s="0" t="n">
        <v>6000</v>
      </c>
      <c r="E37" s="6"/>
      <c r="H37" s="0" t="s">
        <v>7298</v>
      </c>
    </row>
    <row r="38" customFormat="false" ht="18" hidden="false" customHeight="true" outlineLevel="0" collapsed="false">
      <c r="B38" s="6" t="s">
        <v>7299</v>
      </c>
      <c r="C38" s="0" t="n">
        <v>8000</v>
      </c>
      <c r="E38" s="6"/>
      <c r="H38" s="0" t="s">
        <v>7300</v>
      </c>
    </row>
    <row r="39" customFormat="false" ht="18" hidden="false" customHeight="true" outlineLevel="0" collapsed="false">
      <c r="B39" s="6" t="s">
        <v>7301</v>
      </c>
      <c r="C39" s="0" t="n">
        <v>4000</v>
      </c>
      <c r="E39" s="6"/>
      <c r="H39" s="0" t="s">
        <v>7302</v>
      </c>
    </row>
    <row r="40" customFormat="false" ht="18" hidden="false" customHeight="true" outlineLevel="0" collapsed="false">
      <c r="B40" s="6" t="s">
        <v>7303</v>
      </c>
      <c r="C40" s="0" t="n">
        <v>3500</v>
      </c>
      <c r="E40" s="6"/>
      <c r="H40" s="0" t="s">
        <v>7304</v>
      </c>
    </row>
    <row r="41" customFormat="false" ht="18" hidden="false" customHeight="true" outlineLevel="0" collapsed="false">
      <c r="B41" s="6" t="s">
        <v>7305</v>
      </c>
      <c r="C41" s="0" t="n">
        <v>0.02</v>
      </c>
      <c r="E41" s="6"/>
      <c r="H41" s="0" t="s">
        <v>7306</v>
      </c>
    </row>
    <row r="42" customFormat="false" ht="18" hidden="false" customHeight="true" outlineLevel="0" collapsed="false">
      <c r="B42" s="6"/>
      <c r="E42" s="6"/>
    </row>
    <row r="43" customFormat="false" ht="18" hidden="false" customHeight="true" outlineLevel="0" collapsed="false">
      <c r="B43" s="6"/>
      <c r="E43" s="6"/>
    </row>
    <row r="44" customFormat="false" ht="18" hidden="false" customHeight="true" outlineLevel="0" collapsed="false">
      <c r="B44" s="6" t="s">
        <v>7307</v>
      </c>
      <c r="E44" s="6"/>
    </row>
    <row r="45" customFormat="false" ht="18" hidden="false" customHeight="true" outlineLevel="0" collapsed="false">
      <c r="B45" s="6" t="s">
        <v>7308</v>
      </c>
      <c r="C45" s="0" t="n">
        <f aca="false">D16*D9</f>
        <v>55555.5555555556</v>
      </c>
      <c r="E45" s="6"/>
      <c r="H45" s="0" t="s">
        <v>7309</v>
      </c>
    </row>
    <row r="46" customFormat="false" ht="18" hidden="false" customHeight="true" outlineLevel="0" collapsed="false">
      <c r="B46" s="6" t="s">
        <v>7310</v>
      </c>
      <c r="C46" s="0" t="n">
        <f aca="false">D16*D18</f>
        <v>78888.8888888889</v>
      </c>
      <c r="E46" s="6"/>
      <c r="H46" s="0" t="s">
        <v>7311</v>
      </c>
    </row>
    <row r="47" customFormat="false" ht="18" hidden="false" customHeight="true" outlineLevel="0" collapsed="false">
      <c r="B47" s="6" t="s">
        <v>7312</v>
      </c>
      <c r="C47" s="0" t="n">
        <f aca="false">C46-C45</f>
        <v>23333.3333333333</v>
      </c>
      <c r="E47" s="6"/>
      <c r="H47" s="0" t="s">
        <v>7313</v>
      </c>
    </row>
    <row r="48" customFormat="false" ht="18" hidden="false" customHeight="true" outlineLevel="0" collapsed="false">
      <c r="B48" s="6"/>
      <c r="E48" s="6"/>
    </row>
    <row r="49" customFormat="false" ht="18" hidden="false" customHeight="true" outlineLevel="0" collapsed="false">
      <c r="B49" s="6"/>
      <c r="E49" s="6"/>
    </row>
    <row r="50" customFormat="false" ht="18" hidden="false" customHeight="true" outlineLevel="0" collapsed="false">
      <c r="B50" s="6"/>
      <c r="E50" s="6"/>
    </row>
    <row r="51" customFormat="false" ht="18" hidden="false" customHeight="true" outlineLevel="0" collapsed="false">
      <c r="B51" s="6"/>
      <c r="E51" s="6"/>
    </row>
    <row r="52" customFormat="false" ht="18" hidden="false" customHeight="true" outlineLevel="0" collapsed="false">
      <c r="B52" s="6"/>
      <c r="E52" s="6"/>
    </row>
    <row r="53" customFormat="false" ht="18" hidden="false" customHeight="true" outlineLevel="0" collapsed="false">
      <c r="B53" s="6"/>
      <c r="E53" s="6"/>
    </row>
    <row r="54" customFormat="false" ht="18" hidden="false" customHeight="true" outlineLevel="0" collapsed="false">
      <c r="B54" s="6"/>
      <c r="E54" s="6"/>
    </row>
    <row r="55" customFormat="false" ht="18" hidden="false" customHeight="true" outlineLevel="0" collapsed="false">
      <c r="B55" s="6"/>
      <c r="E55" s="6"/>
    </row>
    <row r="56" customFormat="false" ht="18" hidden="false" customHeight="true" outlineLevel="0" collapsed="false">
      <c r="B56" s="6"/>
      <c r="E56" s="6"/>
    </row>
    <row r="57" customFormat="false" ht="18" hidden="false" customHeight="true" outlineLevel="0" collapsed="false">
      <c r="B57" s="6"/>
      <c r="E57" s="6"/>
    </row>
    <row r="58" customFormat="false" ht="18" hidden="false" customHeight="true" outlineLevel="0" collapsed="false">
      <c r="B58" s="6"/>
      <c r="E58" s="6"/>
    </row>
    <row r="59" customFormat="false" ht="18" hidden="false" customHeight="true" outlineLevel="0" collapsed="false">
      <c r="B59" s="6"/>
      <c r="E59" s="6"/>
    </row>
    <row r="60" customFormat="false" ht="18" hidden="false" customHeight="true" outlineLevel="0" collapsed="false">
      <c r="B60" s="6"/>
      <c r="E60" s="6"/>
    </row>
    <row r="61" customFormat="false" ht="6" hidden="false" customHeight="true" outlineLevel="0" collapsed="false">
      <c r="B61" s="6"/>
      <c r="E61" s="6"/>
    </row>
    <row r="62" customFormat="false" ht="21.75" hidden="false" customHeight="true" outlineLevel="0" collapsed="false">
      <c r="B62" s="333"/>
      <c r="C62" s="333"/>
      <c r="D62" s="333"/>
      <c r="E62" s="333"/>
      <c r="F62" s="333"/>
      <c r="G62" s="333"/>
      <c r="H62" s="333"/>
    </row>
    <row r="63" customFormat="false" ht="16.5" hidden="false" customHeight="true" outlineLevel="0" collapsed="false">
      <c r="B63" s="6"/>
      <c r="E63" s="6"/>
    </row>
    <row r="64" customFormat="false" ht="16.5" hidden="false" customHeight="true" outlineLevel="0" collapsed="false">
      <c r="B64" s="6"/>
      <c r="E64" s="6"/>
    </row>
    <row r="65" customFormat="false" ht="16.5" hidden="false" customHeight="true" outlineLevel="0" collapsed="false">
      <c r="B65" s="6"/>
      <c r="E65" s="6"/>
    </row>
    <row r="66" customFormat="false" ht="16.5" hidden="false" customHeight="true" outlineLevel="0" collapsed="false">
      <c r="B66" s="6"/>
      <c r="E66" s="6"/>
    </row>
    <row r="67" customFormat="false" ht="16.5" hidden="false" customHeight="true" outlineLevel="0" collapsed="false">
      <c r="B67" s="6"/>
      <c r="E67" s="6"/>
    </row>
    <row r="68" customFormat="false" ht="16.5" hidden="false" customHeight="true" outlineLevel="0" collapsed="false">
      <c r="B68" s="6"/>
      <c r="E68" s="6"/>
    </row>
    <row r="69" customFormat="false" ht="16.5" hidden="false" customHeight="true" outlineLevel="0" collapsed="false">
      <c r="B69" s="6"/>
      <c r="E69" s="6"/>
    </row>
    <row r="70" customFormat="false" ht="16.5" hidden="false" customHeight="true" outlineLevel="0" collapsed="false">
      <c r="B70" s="6"/>
      <c r="E70" s="6"/>
    </row>
    <row r="71" customFormat="false" ht="16.5" hidden="false" customHeight="true" outlineLevel="0" collapsed="false">
      <c r="B71" s="6"/>
      <c r="E71" s="6"/>
    </row>
    <row r="72" customFormat="false" ht="16.5" hidden="false" customHeight="true" outlineLevel="0" collapsed="false">
      <c r="B72" s="6"/>
      <c r="E72" s="6"/>
    </row>
    <row r="73" customFormat="false" ht="16.5" hidden="false" customHeight="true" outlineLevel="0" collapsed="false">
      <c r="B73" s="6"/>
      <c r="E73" s="6"/>
    </row>
    <row r="74" customFormat="false" ht="16.5" hidden="false" customHeight="true" outlineLevel="0" collapsed="false">
      <c r="B74" s="6"/>
      <c r="E74" s="6"/>
    </row>
    <row r="75" customFormat="false" ht="16.5" hidden="false" customHeight="true" outlineLevel="0" collapsed="false">
      <c r="B75" s="6"/>
      <c r="E75" s="6"/>
    </row>
    <row r="76" customFormat="false" ht="16.5" hidden="false" customHeight="true" outlineLevel="0" collapsed="false">
      <c r="B76" s="6"/>
      <c r="E76" s="6"/>
    </row>
    <row r="77" customFormat="false" ht="16.5" hidden="false" customHeight="true" outlineLevel="0" collapsed="false">
      <c r="B77" s="6"/>
      <c r="E77" s="6"/>
    </row>
    <row r="78" customFormat="false" ht="16.5" hidden="false" customHeight="true" outlineLevel="0" collapsed="false">
      <c r="B78" s="6"/>
      <c r="E78" s="6"/>
    </row>
    <row r="79" customFormat="false" ht="6" hidden="false" customHeight="true" outlineLevel="0" collapsed="false">
      <c r="B79" s="6"/>
      <c r="E79" s="6"/>
    </row>
    <row r="80" customFormat="false" ht="21.75" hidden="false" customHeight="true" outlineLevel="0" collapsed="false">
      <c r="B80" s="333"/>
      <c r="C80" s="333"/>
      <c r="D80" s="333"/>
      <c r="E80" s="333"/>
      <c r="F80" s="333"/>
      <c r="G80" s="333"/>
      <c r="H80" s="333"/>
    </row>
    <row r="82" customFormat="false" ht="15" hidden="false" customHeight="true" outlineLevel="0" collapsed="false"/>
    <row r="83" customFormat="false" ht="16.5" hidden="false" customHeight="true" outlineLevel="0" collapsed="false"/>
    <row r="84" customFormat="false" ht="16.5" hidden="false" customHeight="true" outlineLevel="0" collapsed="false"/>
    <row r="85" customFormat="false" ht="16.5" hidden="false" customHeight="true" outlineLevel="0" collapsed="false"/>
    <row r="86" customFormat="false" ht="16.5" hidden="false" customHeight="true" outlineLevel="0" collapsed="false"/>
    <row r="87" customFormat="false" ht="16.5" hidden="false" customHeight="true" outlineLevel="0" collapsed="false"/>
    <row r="89" customFormat="false" ht="15" hidden="false" customHeight="true" outlineLevel="0" collapsed="false"/>
    <row r="90" customFormat="false" ht="16.5" hidden="false" customHeight="true" outlineLevel="0" collapsed="false"/>
    <row r="91" customFormat="false" ht="16.5" hidden="false" customHeight="true" outlineLevel="0" collapsed="false"/>
  </sheetData>
  <mergeCells count="8">
    <mergeCell ref="B2:F2"/>
    <mergeCell ref="G2:J2"/>
    <mergeCell ref="B3:J3"/>
    <mergeCell ref="G4:H4"/>
    <mergeCell ref="B5:E5"/>
    <mergeCell ref="B36:H36"/>
    <mergeCell ref="B62:H62"/>
    <mergeCell ref="B80:H8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H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19"/>
    <col collapsed="false" customWidth="true" hidden="false" outlineLevel="0" max="6" min="5" style="0" width="15"/>
    <col collapsed="false" customWidth="true" hidden="false" outlineLevel="0" max="8" min="7" style="0" width="28"/>
  </cols>
  <sheetData>
    <row r="1" customFormat="false" ht="3.75" hidden="false" customHeight="true" outlineLevel="0" collapsed="false">
      <c r="B1" s="1"/>
      <c r="C1" s="2"/>
      <c r="D1" s="1"/>
      <c r="E1" s="2"/>
      <c r="F1" s="2"/>
      <c r="G1" s="2"/>
    </row>
    <row r="2" customFormat="false" ht="27.75" hidden="false" customHeight="true" outlineLevel="0" collapsed="false">
      <c r="B2" s="15" t="s">
        <v>7314</v>
      </c>
      <c r="C2" s="15"/>
      <c r="D2" s="15"/>
      <c r="E2" s="15"/>
      <c r="F2" s="89" t="s">
        <v>995</v>
      </c>
      <c r="G2" s="89"/>
    </row>
    <row r="3" customFormat="false" ht="33.75" hidden="false" customHeight="true" outlineLevel="0" collapsed="false">
      <c r="B3" s="529" t="s">
        <v>7041</v>
      </c>
      <c r="C3" s="529"/>
      <c r="D3" s="529"/>
      <c r="E3" s="529"/>
      <c r="F3" s="529"/>
      <c r="G3" s="529"/>
    </row>
    <row r="4" customFormat="false" ht="33.75" hidden="false" customHeight="true" outlineLevel="0" collapsed="false">
      <c r="B4" s="1444" t="s">
        <v>7042</v>
      </c>
      <c r="C4" s="1444"/>
      <c r="D4" s="1444"/>
      <c r="E4" s="1444"/>
      <c r="F4" s="1444"/>
      <c r="G4" s="1444"/>
      <c r="H4" s="0" t="s">
        <v>3856</v>
      </c>
    </row>
    <row r="5" customFormat="false" ht="21.75" hidden="false" customHeight="true" outlineLevel="0" collapsed="false">
      <c r="B5" s="97" t="s">
        <v>3857</v>
      </c>
      <c r="C5" s="98" t="s">
        <v>393</v>
      </c>
      <c r="D5" s="99" t="s">
        <v>1658</v>
      </c>
      <c r="E5" s="98" t="s">
        <v>3858</v>
      </c>
      <c r="F5" s="98" t="s">
        <v>102</v>
      </c>
      <c r="G5" s="98" t="s">
        <v>778</v>
      </c>
    </row>
    <row r="6" customFormat="false" ht="27.75" hidden="false" customHeight="true" outlineLevel="0" collapsed="false">
      <c r="B6" s="113" t="s">
        <v>7315</v>
      </c>
      <c r="C6" s="533" t="n">
        <f aca="false">'Subleasing · Drivers'!D8</f>
        <v>6300</v>
      </c>
      <c r="D6" s="592" t="s">
        <v>7316</v>
      </c>
      <c r="E6" s="1256" t="s">
        <v>4796</v>
      </c>
      <c r="F6" s="1257" t="s">
        <v>1600</v>
      </c>
      <c r="G6" s="538" t="s">
        <v>7317</v>
      </c>
    </row>
    <row r="7" customFormat="false" ht="27.75" hidden="false" customHeight="true" outlineLevel="0" collapsed="false">
      <c r="B7" s="113" t="s">
        <v>7318</v>
      </c>
      <c r="C7" s="533" t="n">
        <f aca="false">'Subleasing · Drivers'!D14</f>
        <v>0</v>
      </c>
      <c r="D7" s="592" t="s">
        <v>7319</v>
      </c>
      <c r="E7" s="1256" t="s">
        <v>4796</v>
      </c>
      <c r="F7" s="1259" t="s">
        <v>4803</v>
      </c>
      <c r="G7" s="538" t="s">
        <v>7320</v>
      </c>
    </row>
    <row r="8" customFormat="false" ht="27.75" hidden="false" customHeight="true" outlineLevel="0" collapsed="false">
      <c r="B8" s="113" t="s">
        <v>7321</v>
      </c>
      <c r="C8" s="533" t="n">
        <f aca="false">'Subleasing · Drivers'!D20</f>
        <v>0</v>
      </c>
      <c r="D8" s="592" t="s">
        <v>7322</v>
      </c>
      <c r="E8" s="1256" t="s">
        <v>4796</v>
      </c>
      <c r="F8" s="1259" t="s">
        <v>4803</v>
      </c>
      <c r="G8" s="538" t="s">
        <v>7323</v>
      </c>
    </row>
    <row r="9" customFormat="false" ht="27.75" hidden="false" customHeight="true" outlineLevel="0" collapsed="false">
      <c r="B9" s="113" t="s">
        <v>7324</v>
      </c>
      <c r="C9" s="533" t="n">
        <f aca="false">'Subleasing · Drivers'!D26</f>
        <v>0</v>
      </c>
      <c r="D9" s="592" t="s">
        <v>7322</v>
      </c>
      <c r="E9" s="1261" t="s">
        <v>4821</v>
      </c>
      <c r="F9" s="1259" t="s">
        <v>4803</v>
      </c>
      <c r="G9" s="538" t="s">
        <v>7325</v>
      </c>
    </row>
    <row r="10" customFormat="false" ht="27.75" hidden="false" customHeight="true" outlineLevel="0" collapsed="false">
      <c r="B10" s="113" t="s">
        <v>7326</v>
      </c>
      <c r="C10" s="533" t="n">
        <f aca="false">'Subleasing · Drivers'!D32</f>
        <v>0</v>
      </c>
      <c r="D10" s="592" t="s">
        <v>7322</v>
      </c>
      <c r="E10" s="1261" t="s">
        <v>4821</v>
      </c>
      <c r="F10" s="1259" t="s">
        <v>4803</v>
      </c>
      <c r="G10" s="538" t="s">
        <v>7327</v>
      </c>
    </row>
    <row r="11" customFormat="false" ht="27.75" hidden="false" customHeight="true" outlineLevel="0" collapsed="false">
      <c r="B11" s="113" t="s">
        <v>7328</v>
      </c>
      <c r="C11" s="1288" t="n">
        <f aca="false">0.03</f>
        <v>0.03</v>
      </c>
      <c r="D11" s="592" t="s">
        <v>7329</v>
      </c>
      <c r="E11" s="1256" t="s">
        <v>4796</v>
      </c>
      <c r="F11" s="1216" t="s">
        <v>2765</v>
      </c>
      <c r="G11" s="538" t="s">
        <v>7330</v>
      </c>
    </row>
    <row r="12" customFormat="false" ht="27.75" hidden="false" customHeight="true" outlineLevel="0" collapsed="false">
      <c r="B12" s="113" t="s">
        <v>7331</v>
      </c>
      <c r="C12" s="533" t="n">
        <f aca="false">'Subleasing · Costs'!C7</f>
        <v>6000</v>
      </c>
      <c r="D12" s="592" t="s">
        <v>7332</v>
      </c>
      <c r="E12" s="1256" t="s">
        <v>4796</v>
      </c>
      <c r="F12" s="1257" t="s">
        <v>1600</v>
      </c>
      <c r="G12" s="538" t="s">
        <v>7333</v>
      </c>
    </row>
    <row r="13" customFormat="false" ht="27.75" hidden="false" customHeight="true" outlineLevel="0" collapsed="false">
      <c r="B13" s="113" t="s">
        <v>3943</v>
      </c>
      <c r="C13" s="533" t="n">
        <f aca="false">0</f>
        <v>0</v>
      </c>
      <c r="D13" s="592" t="s">
        <v>7334</v>
      </c>
      <c r="E13" s="1260" t="s">
        <v>4807</v>
      </c>
      <c r="F13" s="1216" t="s">
        <v>2765</v>
      </c>
      <c r="G13" s="538" t="s">
        <v>7335</v>
      </c>
    </row>
    <row r="14" customFormat="false" ht="27.75" hidden="false" customHeight="true" outlineLevel="0" collapsed="false">
      <c r="B14" s="113" t="s">
        <v>3946</v>
      </c>
      <c r="C14" s="533" t="n">
        <f aca="false">5</f>
        <v>5</v>
      </c>
      <c r="D14" s="592" t="s">
        <v>7336</v>
      </c>
      <c r="E14" s="1260" t="s">
        <v>4807</v>
      </c>
      <c r="F14" s="1216" t="s">
        <v>2765</v>
      </c>
      <c r="G14" s="538" t="s">
        <v>7337</v>
      </c>
    </row>
    <row r="15" customFormat="false" ht="27.75" hidden="false" customHeight="true" outlineLevel="0" collapsed="false">
      <c r="B15" s="113" t="s">
        <v>3949</v>
      </c>
      <c r="C15" s="533" t="n">
        <f aca="false">30</f>
        <v>30</v>
      </c>
      <c r="D15" s="592" t="s">
        <v>5849</v>
      </c>
      <c r="E15" s="1260" t="s">
        <v>4807</v>
      </c>
      <c r="F15" s="1216" t="s">
        <v>2765</v>
      </c>
      <c r="G15" s="538" t="s">
        <v>3950</v>
      </c>
    </row>
    <row r="16" customFormat="false" ht="27.75" hidden="false" customHeight="true" outlineLevel="0" collapsed="false">
      <c r="B16" s="113" t="s">
        <v>3951</v>
      </c>
      <c r="C16" s="533" t="n">
        <f aca="false">0</f>
        <v>0</v>
      </c>
      <c r="D16" s="592" t="s">
        <v>7338</v>
      </c>
      <c r="E16" s="1260" t="s">
        <v>4807</v>
      </c>
      <c r="F16" s="1216" t="s">
        <v>2765</v>
      </c>
      <c r="G16" s="538" t="s">
        <v>7339</v>
      </c>
    </row>
    <row r="17" customFormat="false" ht="15" hidden="false" customHeight="true" outlineLevel="0" collapsed="false">
      <c r="B17" s="6"/>
      <c r="D17" s="6"/>
    </row>
    <row r="18" customFormat="false" ht="15" hidden="false" customHeight="true" outlineLevel="0" collapsed="false">
      <c r="B18" s="6"/>
      <c r="D18" s="6"/>
    </row>
    <row r="19" customFormat="false" ht="21.75" hidden="false" customHeight="true" outlineLevel="0" collapsed="false">
      <c r="B19" s="304" t="s">
        <v>7072</v>
      </c>
      <c r="C19" s="304"/>
      <c r="D19" s="304"/>
      <c r="E19" s="304"/>
      <c r="F19" s="304"/>
      <c r="G19" s="304"/>
    </row>
    <row r="20" customFormat="false" ht="108.75" hidden="false" customHeight="true" outlineLevel="0" collapsed="false">
      <c r="B20" s="1445" t="s">
        <v>7073</v>
      </c>
      <c r="C20" s="1445"/>
      <c r="D20" s="1445"/>
      <c r="E20" s="1445"/>
      <c r="F20" s="1445"/>
      <c r="G20" s="1445"/>
    </row>
    <row r="21" customFormat="false" ht="15" hidden="false" customHeight="true" outlineLevel="0" collapsed="false">
      <c r="B21" s="1445"/>
      <c r="C21" s="1445"/>
      <c r="D21" s="1445"/>
      <c r="E21" s="1445"/>
      <c r="F21" s="1445"/>
      <c r="G21" s="1445"/>
    </row>
    <row r="22" customFormat="false" ht="15" hidden="false" customHeight="true" outlineLevel="0" collapsed="false">
      <c r="B22" s="1445"/>
      <c r="C22" s="1445"/>
      <c r="D22" s="1445"/>
      <c r="E22" s="1445"/>
      <c r="F22" s="1445"/>
      <c r="G22" s="1445"/>
    </row>
    <row r="23" customFormat="false" ht="15" hidden="false" customHeight="true" outlineLevel="0" collapsed="false">
      <c r="B23" s="1445"/>
      <c r="C23" s="1445"/>
      <c r="D23" s="1445"/>
      <c r="E23" s="1445"/>
      <c r="F23" s="1445"/>
      <c r="G23" s="1445"/>
    </row>
  </sheetData>
  <mergeCells count="6">
    <mergeCell ref="B2:E2"/>
    <mergeCell ref="F2:G2"/>
    <mergeCell ref="B3:G3"/>
    <mergeCell ref="B4:G4"/>
    <mergeCell ref="B19:G19"/>
    <mergeCell ref="B20:G2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6"/>
      <c r="I1" s="6"/>
    </row>
    <row r="2" customFormat="false" ht="33.75" hidden="false" customHeight="true" outlineLevel="0" collapsed="false">
      <c r="B2" s="1454" t="s">
        <v>7340</v>
      </c>
      <c r="C2" s="1454"/>
      <c r="D2" s="1454"/>
      <c r="E2" s="1454"/>
      <c r="F2" s="1454"/>
      <c r="G2" s="1455" t="s">
        <v>3432</v>
      </c>
      <c r="H2" s="1455"/>
      <c r="I2" s="1455"/>
      <c r="J2" s="1455"/>
    </row>
    <row r="3" customFormat="false" ht="33.75" hidden="false" customHeight="true" outlineLevel="0" collapsed="false">
      <c r="B3" s="1454" t="s">
        <v>7341</v>
      </c>
      <c r="C3" s="1454"/>
      <c r="D3" s="1454"/>
      <c r="E3" s="1454"/>
      <c r="F3" s="1454"/>
      <c r="G3" s="1454"/>
      <c r="H3" s="1454"/>
      <c r="I3" s="1454"/>
      <c r="J3" s="1454"/>
    </row>
    <row r="4" customFormat="false" ht="15" hidden="false" customHeight="true" outlineLevel="0" collapsed="false">
      <c r="B4" s="6"/>
      <c r="I4" s="6"/>
    </row>
    <row r="5" customFormat="false" ht="21.75" hidden="false" customHeight="true" outlineLevel="0" collapsed="false">
      <c r="B5" s="333" t="s">
        <v>7342</v>
      </c>
      <c r="C5" s="333"/>
      <c r="D5" s="333"/>
      <c r="E5" s="333"/>
      <c r="F5" s="333"/>
      <c r="G5" s="333"/>
      <c r="H5" s="333"/>
      <c r="I5" s="6"/>
    </row>
    <row r="6" customFormat="false" ht="19.5" hidden="false" customHeight="true" outlineLevel="0" collapsed="false">
      <c r="B6" s="6" t="s">
        <v>666</v>
      </c>
      <c r="C6" s="0" t="s">
        <v>7343</v>
      </c>
      <c r="D6" s="0" t="s">
        <v>7344</v>
      </c>
      <c r="E6" s="0" t="s">
        <v>3446</v>
      </c>
      <c r="G6" s="0" t="s">
        <v>3508</v>
      </c>
      <c r="I6" s="6"/>
    </row>
    <row r="7" customFormat="false" ht="16.5" hidden="false" customHeight="true" outlineLevel="0" collapsed="false">
      <c r="B7" s="6" t="s">
        <v>7345</v>
      </c>
      <c r="C7" s="0" t="n">
        <f aca="false">'Subleasing · Drivers'!C23</f>
        <v>250000</v>
      </c>
      <c r="D7" s="0" t="n">
        <f aca="false">'Subleasing · Drivers'!C24</f>
        <v>1</v>
      </c>
      <c r="E7" s="0" t="n">
        <f aca="false">'Subleasing · Drivers'!C31</f>
        <v>250000</v>
      </c>
      <c r="G7" s="0" t="s">
        <v>7346</v>
      </c>
      <c r="I7" s="6"/>
    </row>
    <row r="8" customFormat="false" ht="21.75" hidden="false" customHeight="true" outlineLevel="0" collapsed="false">
      <c r="B8" s="6" t="s">
        <v>7347</v>
      </c>
      <c r="E8" s="0" t="n">
        <f aca="false">E7</f>
        <v>250000</v>
      </c>
      <c r="I8" s="6"/>
    </row>
    <row r="9" customFormat="false" ht="15" hidden="false" customHeight="true" outlineLevel="0" collapsed="false">
      <c r="B9" s="6"/>
      <c r="I9" s="6"/>
    </row>
    <row r="10" customFormat="false" ht="33.75" hidden="false" customHeight="true" outlineLevel="0" collapsed="false">
      <c r="B10" s="333" t="s">
        <v>7348</v>
      </c>
      <c r="C10" s="333"/>
      <c r="D10" s="333"/>
      <c r="E10" s="333"/>
      <c r="F10" s="333"/>
      <c r="G10" s="333"/>
      <c r="H10" s="333"/>
      <c r="I10" s="6"/>
    </row>
    <row r="11" customFormat="false" ht="19.5" hidden="false" customHeight="true" outlineLevel="0" collapsed="false">
      <c r="B11" s="6" t="s">
        <v>666</v>
      </c>
      <c r="C11" s="0" t="s">
        <v>7349</v>
      </c>
      <c r="D11" s="0" t="s">
        <v>7350</v>
      </c>
      <c r="E11" s="0" t="s">
        <v>3446</v>
      </c>
      <c r="G11" s="0" t="s">
        <v>3508</v>
      </c>
      <c r="I11" s="6"/>
    </row>
    <row r="12" customFormat="false" ht="16.5" hidden="false" customHeight="true" outlineLevel="0" collapsed="false">
      <c r="B12" s="6" t="s">
        <v>7351</v>
      </c>
      <c r="C12" s="0" t="n">
        <f aca="false">'Subleasing · Drivers'!C25</f>
        <v>500</v>
      </c>
      <c r="D12" s="0" t="n">
        <f aca="false">'Subleasing · Drivers'!C27</f>
        <v>157.777777777778</v>
      </c>
      <c r="E12" s="0" t="n">
        <f aca="false">'Subleasing · Drivers'!C32</f>
        <v>71000</v>
      </c>
      <c r="G12" s="0" t="s">
        <v>7293</v>
      </c>
      <c r="I12" s="6"/>
    </row>
    <row r="13" customFormat="false" ht="16.5" hidden="false" customHeight="true" outlineLevel="0" collapsed="false">
      <c r="B13" s="6" t="s">
        <v>7352</v>
      </c>
      <c r="E13" s="0" t="n">
        <f aca="false">E12</f>
        <v>71000</v>
      </c>
      <c r="I13" s="6"/>
    </row>
    <row r="14" customFormat="false" ht="21.75" hidden="false" customHeight="true" outlineLevel="0" collapsed="false">
      <c r="B14" s="6"/>
      <c r="I14" s="6"/>
    </row>
    <row r="15" customFormat="false" ht="15" hidden="false" customHeight="true" outlineLevel="0" collapsed="false">
      <c r="B15" s="6" t="s">
        <v>7353</v>
      </c>
      <c r="I15" s="6"/>
    </row>
    <row r="16" customFormat="false" ht="21.75" hidden="false" customHeight="true" outlineLevel="0" collapsed="false">
      <c r="B16" s="6" t="s">
        <v>7354</v>
      </c>
      <c r="E16" s="0" t="n">
        <f aca="false">E8+E13</f>
        <v>321000</v>
      </c>
      <c r="I16" s="6"/>
    </row>
    <row r="17" customFormat="false" ht="19.5" hidden="false" customHeight="true" outlineLevel="0" collapsed="false">
      <c r="B17" s="6"/>
      <c r="I17" s="6"/>
    </row>
    <row r="18" customFormat="false" ht="16.5" hidden="false" customHeight="true" outlineLevel="0" collapsed="false">
      <c r="B18" s="6"/>
      <c r="I18" s="6"/>
    </row>
    <row r="19" customFormat="false" ht="16.5" hidden="false" customHeight="true" outlineLevel="0" collapsed="false">
      <c r="B19" s="6" t="s">
        <v>3443</v>
      </c>
      <c r="I19" s="6"/>
    </row>
    <row r="20" customFormat="false" ht="18" hidden="false" customHeight="true" outlineLevel="0" collapsed="false">
      <c r="B20" s="6" t="s">
        <v>3445</v>
      </c>
      <c r="C20" s="0" t="s">
        <v>2771</v>
      </c>
      <c r="D20" s="0" t="s">
        <v>1052</v>
      </c>
      <c r="I20" s="6"/>
    </row>
    <row r="21" customFormat="false" ht="16.5" hidden="false" customHeight="true" outlineLevel="0" collapsed="false">
      <c r="B21" s="6" t="s">
        <v>7345</v>
      </c>
      <c r="C21" s="0" t="n">
        <f aca="false">E8</f>
        <v>250000</v>
      </c>
      <c r="D21" s="0" t="n">
        <f aca="false">E8/$E$16</f>
        <v>0.778816199376947</v>
      </c>
      <c r="I21" s="6"/>
    </row>
    <row r="22" customFormat="false" ht="16.5" hidden="false" customHeight="true" outlineLevel="0" collapsed="false">
      <c r="B22" s="6" t="s">
        <v>7355</v>
      </c>
      <c r="C22" s="0" t="n">
        <f aca="false">E13</f>
        <v>71000</v>
      </c>
      <c r="D22" s="0" t="n">
        <f aca="false">E13/$E$16</f>
        <v>0.221183800623053</v>
      </c>
      <c r="I22" s="6"/>
    </row>
    <row r="23" customFormat="false" ht="18" hidden="false" customHeight="true" outlineLevel="0" collapsed="false">
      <c r="B23" s="6"/>
      <c r="I23" s="6"/>
    </row>
    <row r="24" customFormat="false" ht="16.5" hidden="false" customHeight="true" outlineLevel="0" collapsed="false">
      <c r="B24" s="6"/>
      <c r="I24" s="6"/>
    </row>
    <row r="25" customFormat="false" ht="16.5" hidden="false" customHeight="true" outlineLevel="0" collapsed="false">
      <c r="B25" s="6" t="s">
        <v>7356</v>
      </c>
      <c r="I25" s="6"/>
    </row>
    <row r="26" customFormat="false" ht="18" hidden="false" customHeight="true" outlineLevel="0" collapsed="false">
      <c r="B26" s="6" t="s">
        <v>7357</v>
      </c>
      <c r="C26" s="0" t="n">
        <f aca="false">'Subleasing · Drivers'!C45</f>
        <v>55555.5555555556</v>
      </c>
      <c r="G26" s="0" t="s">
        <v>7358</v>
      </c>
      <c r="I26" s="6"/>
    </row>
    <row r="27" customFormat="false" ht="21.75" hidden="false" customHeight="true" outlineLevel="0" collapsed="false">
      <c r="B27" s="6" t="s">
        <v>7359</v>
      </c>
      <c r="C27" s="0" t="n">
        <f aca="false">'Subleasing · Drivers'!C46</f>
        <v>78888.8888888889</v>
      </c>
      <c r="G27" s="0" t="s">
        <v>7360</v>
      </c>
      <c r="I27" s="6"/>
    </row>
    <row r="28" customFormat="false" ht="15" hidden="false" customHeight="true" outlineLevel="0" collapsed="false">
      <c r="B28" s="6" t="s">
        <v>7361</v>
      </c>
      <c r="C28" s="0" t="n">
        <f aca="false">C27-C26</f>
        <v>23333.3333333333</v>
      </c>
      <c r="G28" s="0" t="s">
        <v>7362</v>
      </c>
      <c r="I28" s="6"/>
    </row>
    <row r="29" customFormat="false" ht="21.75" hidden="false" customHeight="true" outlineLevel="0" collapsed="false">
      <c r="B29" s="333"/>
      <c r="C29" s="333"/>
      <c r="D29" s="333"/>
      <c r="E29" s="333"/>
      <c r="F29" s="333"/>
      <c r="G29" s="333"/>
      <c r="H29" s="333"/>
      <c r="I29" s="6"/>
    </row>
    <row r="30" customFormat="false" ht="27.75" hidden="false" customHeight="true" outlineLevel="0" collapsed="false">
      <c r="B30" s="6" t="s">
        <v>7363</v>
      </c>
      <c r="E30" s="0" t="n">
        <f aca="false">E16</f>
        <v>321000</v>
      </c>
      <c r="G30" s="0" t="s">
        <v>7364</v>
      </c>
      <c r="I30" s="6"/>
    </row>
    <row r="31" customFormat="false" ht="15" hidden="false" customHeight="true" outlineLevel="0" collapsed="false">
      <c r="B31" s="6"/>
      <c r="I31" s="6"/>
    </row>
    <row r="32" customFormat="false" ht="15" hidden="false" customHeight="true" outlineLevel="0" collapsed="false">
      <c r="B32" s="6"/>
      <c r="I32" s="6"/>
    </row>
    <row r="33" customFormat="false" ht="21.75" hidden="false" customHeight="true" outlineLevel="0" collapsed="false">
      <c r="B33" s="333"/>
      <c r="C33" s="333"/>
      <c r="D33" s="333"/>
      <c r="E33" s="333"/>
      <c r="F33" s="333"/>
      <c r="G33" s="333"/>
      <c r="H33" s="333"/>
      <c r="I33" s="6"/>
    </row>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sheetData>
  <mergeCells count="7">
    <mergeCell ref="B2:F2"/>
    <mergeCell ref="G2:J2"/>
    <mergeCell ref="B3:J3"/>
    <mergeCell ref="B5:H5"/>
    <mergeCell ref="B10:H10"/>
    <mergeCell ref="B29:H29"/>
    <mergeCell ref="B33:H3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48.16"/>
    <col collapsed="false" customWidth="true" hidden="false" outlineLevel="0" max="6" min="3" style="0" width="11"/>
  </cols>
  <sheetData>
    <row r="1" customFormat="false" ht="15" hidden="false" customHeight="true" outlineLevel="0" collapsed="false">
      <c r="B1" s="6"/>
      <c r="D1" s="6"/>
      <c r="F1" s="6"/>
    </row>
    <row r="2" customFormat="false" ht="36" hidden="false" customHeight="true" outlineLevel="0" collapsed="false">
      <c r="B2" s="415" t="s">
        <v>1238</v>
      </c>
      <c r="D2" s="6"/>
      <c r="F2" s="6"/>
    </row>
    <row r="3" customFormat="false" ht="66" hidden="false" customHeight="true" outlineLevel="0" collapsed="false">
      <c r="B3" s="191" t="s">
        <v>1239</v>
      </c>
      <c r="D3" s="6"/>
      <c r="F3" s="6"/>
    </row>
    <row r="4" customFormat="false" ht="15" hidden="false" customHeight="true" outlineLevel="0" collapsed="false">
      <c r="B4" s="6"/>
      <c r="D4" s="6"/>
      <c r="F4" s="6"/>
    </row>
    <row r="5" customFormat="false" ht="66" hidden="false" customHeight="true" outlineLevel="0" collapsed="false">
      <c r="B5" s="416" t="s">
        <v>1240</v>
      </c>
      <c r="D5" s="6"/>
      <c r="F5" s="6"/>
    </row>
    <row r="6" customFormat="false" ht="15" hidden="false" customHeight="true" outlineLevel="0" collapsed="false">
      <c r="B6" s="6"/>
      <c r="D6" s="6"/>
      <c r="F6" s="6"/>
    </row>
    <row r="7" customFormat="false" ht="15" hidden="false" customHeight="true" outlineLevel="0" collapsed="false">
      <c r="B7" s="159" t="s">
        <v>750</v>
      </c>
      <c r="C7" s="193" t="s">
        <v>1241</v>
      </c>
      <c r="D7" s="159" t="s">
        <v>1242</v>
      </c>
      <c r="E7" s="193" t="s">
        <v>1243</v>
      </c>
      <c r="F7" s="159" t="s">
        <v>1244</v>
      </c>
    </row>
    <row r="8" customFormat="false" ht="15" hidden="false" customHeight="true" outlineLevel="0" collapsed="false">
      <c r="B8" s="6" t="s">
        <v>1245</v>
      </c>
      <c r="C8" s="142" t="n">
        <f aca="false">'Consolidated 8Yr P&amp;L'!C35</f>
        <v>1508583.94025325</v>
      </c>
      <c r="D8" s="241" t="n">
        <f aca="false">'Exit &amp; Returns'!C13</f>
        <v>1508583.94025325</v>
      </c>
      <c r="E8" s="249" t="n">
        <f aca="false">D8-C8</f>
        <v>0</v>
      </c>
      <c r="F8" s="276" t="n">
        <f aca="false">IFERROR(E8/C8,0)</f>
        <v>0</v>
      </c>
    </row>
    <row r="9" customFormat="false" ht="15" hidden="false" customHeight="true" outlineLevel="0" collapsed="false">
      <c r="B9" s="6" t="s">
        <v>1246</v>
      </c>
      <c r="C9" s="142" t="n">
        <f aca="false">'Consolidated 8Yr P&amp;L'!D35</f>
        <v>1836247.0817155</v>
      </c>
      <c r="D9" s="241" t="n">
        <f aca="false">'Exit &amp; Returns'!D13</f>
        <v>1836247.0817155</v>
      </c>
      <c r="E9" s="249" t="n">
        <f aca="false">D9-C9</f>
        <v>0</v>
      </c>
      <c r="F9" s="276" t="n">
        <f aca="false">IFERROR(E9/C9,0)</f>
        <v>0</v>
      </c>
    </row>
    <row r="10" customFormat="false" ht="15" hidden="false" customHeight="true" outlineLevel="0" collapsed="false">
      <c r="B10" s="6" t="s">
        <v>1247</v>
      </c>
      <c r="C10" s="142" t="n">
        <f aca="false">'Consolidated 8Yr P&amp;L'!E35</f>
        <v>2159351.87463882</v>
      </c>
      <c r="D10" s="241" t="n">
        <f aca="false">'Exit &amp; Returns'!E13</f>
        <v>2159351.87463882</v>
      </c>
      <c r="E10" s="249" t="n">
        <f aca="false">D10-C10</f>
        <v>0</v>
      </c>
      <c r="F10" s="276" t="n">
        <f aca="false">IFERROR(E10/C10,0)</f>
        <v>0</v>
      </c>
    </row>
    <row r="11" customFormat="false" ht="15" hidden="false" customHeight="true" outlineLevel="0" collapsed="false">
      <c r="B11" s="6" t="s">
        <v>1248</v>
      </c>
      <c r="C11" s="142" t="n">
        <f aca="false">'Consolidated 8Yr P&amp;L'!F35</f>
        <v>2106139.43959299</v>
      </c>
      <c r="D11" s="241" t="n">
        <f aca="false">'Exit &amp; Returns'!F13</f>
        <v>2106139.43959299</v>
      </c>
      <c r="E11" s="249" t="n">
        <f aca="false">D11-C11</f>
        <v>0</v>
      </c>
      <c r="F11" s="276" t="n">
        <f aca="false">IFERROR(E11/C11,0)</f>
        <v>0</v>
      </c>
    </row>
    <row r="12" customFormat="false" ht="15" hidden="false" customHeight="true" outlineLevel="0" collapsed="false">
      <c r="B12" s="6" t="s">
        <v>1249</v>
      </c>
      <c r="C12" s="142" t="n">
        <f aca="false">'Consolidated 8Yr P&amp;L'!G35</f>
        <v>2342928.92912408</v>
      </c>
      <c r="D12" s="241" t="n">
        <f aca="false">'Exit &amp; Returns'!G13</f>
        <v>2342928.92912408</v>
      </c>
      <c r="E12" s="249" t="n">
        <f aca="false">D12-C12</f>
        <v>0</v>
      </c>
      <c r="F12" s="276" t="n">
        <f aca="false">IFERROR(E12/C12,0)</f>
        <v>0</v>
      </c>
    </row>
    <row r="13" customFormat="false" ht="15" hidden="false" customHeight="true" outlineLevel="0" collapsed="false">
      <c r="B13" s="6" t="s">
        <v>1250</v>
      </c>
      <c r="C13" s="142" t="n">
        <f aca="false">'Consolidated 8Yr P&amp;L'!H35</f>
        <v>2379432.31922085</v>
      </c>
      <c r="D13" s="241" t="n">
        <f aca="false">'Exit &amp; Returns'!H13</f>
        <v>2379432.31922085</v>
      </c>
      <c r="E13" s="249" t="n">
        <f aca="false">D13-C13</f>
        <v>0</v>
      </c>
      <c r="F13" s="276" t="n">
        <f aca="false">IFERROR(E13/C13,0)</f>
        <v>0</v>
      </c>
    </row>
    <row r="14" customFormat="false" ht="15" hidden="false" customHeight="true" outlineLevel="0" collapsed="false">
      <c r="B14" s="6" t="s">
        <v>1251</v>
      </c>
      <c r="C14" s="142" t="n">
        <f aca="false">'Consolidated 8Yr P&amp;L'!I35</f>
        <v>2442622.99128334</v>
      </c>
      <c r="D14" s="241" t="n">
        <f aca="false">'Exit &amp; Returns'!I13</f>
        <v>2442622.99128334</v>
      </c>
      <c r="E14" s="249" t="n">
        <f aca="false">D14-C14</f>
        <v>0</v>
      </c>
      <c r="F14" s="276" t="n">
        <f aca="false">IFERROR(E14/C14,0)</f>
        <v>0</v>
      </c>
    </row>
    <row r="15" customFormat="false" ht="15" hidden="false" customHeight="true" outlineLevel="0" collapsed="false">
      <c r="B15" s="6"/>
      <c r="D15" s="6"/>
      <c r="F15" s="6"/>
    </row>
    <row r="16" customFormat="false" ht="15" hidden="false" customHeight="true" outlineLevel="0" collapsed="false">
      <c r="B16" s="6"/>
      <c r="D16" s="6"/>
      <c r="F16" s="6"/>
    </row>
    <row r="17" customFormat="false" ht="15.75" hidden="false" customHeight="true" outlineLevel="0" collapsed="false">
      <c r="B17" s="222" t="s">
        <v>1252</v>
      </c>
      <c r="D17" s="6"/>
      <c r="F17" s="6"/>
    </row>
    <row r="18" customFormat="false" ht="15" hidden="false" customHeight="true" outlineLevel="0" collapsed="false">
      <c r="B18" s="6"/>
      <c r="D18" s="6"/>
      <c r="F18" s="6"/>
    </row>
    <row r="19" customFormat="false" ht="15" hidden="false" customHeight="true" outlineLevel="0" collapsed="false">
      <c r="B19" s="159" t="s">
        <v>392</v>
      </c>
      <c r="C19" s="193" t="s">
        <v>1253</v>
      </c>
      <c r="D19" s="159" t="s">
        <v>1254</v>
      </c>
      <c r="E19" s="193" t="s">
        <v>1255</v>
      </c>
      <c r="F19" s="6"/>
    </row>
    <row r="20" customFormat="false" ht="15" hidden="false" customHeight="true" outlineLevel="0" collapsed="false">
      <c r="B20" s="6" t="s">
        <v>1256</v>
      </c>
      <c r="C20" s="0" t="s">
        <v>1257</v>
      </c>
      <c r="D20" s="6" t="s">
        <v>1258</v>
      </c>
      <c r="E20" s="0" t="s">
        <v>1259</v>
      </c>
      <c r="F20" s="6"/>
    </row>
    <row r="21" customFormat="false" ht="36" hidden="false" customHeight="true" outlineLevel="0" collapsed="false">
      <c r="B21" s="6" t="s">
        <v>1260</v>
      </c>
      <c r="C21" s="0" t="s">
        <v>1261</v>
      </c>
      <c r="D21" s="6" t="s">
        <v>1262</v>
      </c>
      <c r="E21" s="0" t="s">
        <v>1263</v>
      </c>
      <c r="F21" s="6"/>
    </row>
    <row r="22" customFormat="false" ht="15" hidden="false" customHeight="true" outlineLevel="0" collapsed="false">
      <c r="B22" s="6" t="s">
        <v>1264</v>
      </c>
      <c r="C22" s="0" t="s">
        <v>1265</v>
      </c>
      <c r="D22" s="6" t="s">
        <v>1266</v>
      </c>
      <c r="E22" s="0" t="s">
        <v>1267</v>
      </c>
      <c r="F22" s="6"/>
    </row>
    <row r="23" customFormat="false" ht="15" hidden="false" customHeight="true" outlineLevel="0" collapsed="false">
      <c r="B23" s="6"/>
      <c r="D23" s="6"/>
      <c r="F23" s="6"/>
    </row>
    <row r="24" customFormat="false" ht="15" hidden="false" customHeight="true" outlineLevel="0" collapsed="false">
      <c r="B24" s="6"/>
      <c r="D24" s="6"/>
      <c r="F24" s="6"/>
    </row>
    <row r="25" customFormat="false" ht="15.75" hidden="false" customHeight="true" outlineLevel="0" collapsed="false">
      <c r="B25" s="222" t="s">
        <v>1268</v>
      </c>
      <c r="D25" s="6"/>
      <c r="F25" s="6"/>
    </row>
    <row r="26" customFormat="false" ht="15" hidden="false" customHeight="true" outlineLevel="0" collapsed="false">
      <c r="B26" s="6"/>
      <c r="D26" s="6"/>
      <c r="F26" s="6"/>
    </row>
    <row r="27" customFormat="false" ht="33.75" hidden="false" customHeight="true" outlineLevel="0" collapsed="false">
      <c r="B27" s="159" t="s">
        <v>1269</v>
      </c>
      <c r="D27" s="6"/>
      <c r="F27" s="6"/>
    </row>
    <row r="28" customFormat="false" ht="36" hidden="false" customHeight="true" outlineLevel="0" collapsed="false">
      <c r="B28" s="6" t="s">
        <v>1270</v>
      </c>
      <c r="D28" s="6"/>
      <c r="F28" s="6"/>
    </row>
    <row r="29" customFormat="false" ht="33.75" hidden="false" customHeight="true" outlineLevel="0" collapsed="false">
      <c r="B29" s="6" t="s">
        <v>1271</v>
      </c>
      <c r="D29" s="6"/>
      <c r="F29" s="6"/>
    </row>
    <row r="30" customFormat="false" ht="36" hidden="false" customHeight="true" outlineLevel="0" collapsed="false">
      <c r="B30" s="6" t="s">
        <v>1272</v>
      </c>
      <c r="D30" s="6"/>
      <c r="F30" s="6"/>
    </row>
    <row r="31" customFormat="false" ht="36" hidden="false" customHeight="true" outlineLevel="0" collapsed="false">
      <c r="B31" s="6" t="s">
        <v>1273</v>
      </c>
      <c r="D31" s="6"/>
      <c r="F31" s="6"/>
    </row>
    <row r="32" customFormat="false" ht="15" hidden="false" customHeight="true" outlineLevel="0" collapsed="false">
      <c r="B32" s="6" t="s">
        <v>1274</v>
      </c>
      <c r="D32" s="6"/>
      <c r="F32" s="6"/>
    </row>
    <row r="33" customFormat="false" ht="15" hidden="false" customHeight="true" outlineLevel="0" collapsed="false">
      <c r="B33" s="6"/>
      <c r="D33" s="6"/>
      <c r="F33" s="6"/>
    </row>
    <row r="34" customFormat="false" ht="33.75" hidden="false" customHeight="true" outlineLevel="0" collapsed="false">
      <c r="B34" s="159" t="s">
        <v>1275</v>
      </c>
      <c r="D34" s="6"/>
      <c r="F34" s="6"/>
    </row>
    <row r="35" customFormat="false" ht="36" hidden="false" customHeight="true" outlineLevel="0" collapsed="false">
      <c r="B35" s="6" t="s">
        <v>1276</v>
      </c>
      <c r="D35" s="6"/>
      <c r="F35" s="6"/>
    </row>
    <row r="36" customFormat="false" ht="36" hidden="false" customHeight="true" outlineLevel="0" collapsed="false">
      <c r="B36" s="6" t="s">
        <v>1277</v>
      </c>
      <c r="D36" s="6"/>
      <c r="F36" s="6"/>
    </row>
    <row r="37" customFormat="false" ht="36" hidden="false" customHeight="true" outlineLevel="0" collapsed="false">
      <c r="B37" s="6" t="s">
        <v>1278</v>
      </c>
      <c r="D37" s="6"/>
      <c r="F37" s="6"/>
    </row>
    <row r="38" customFormat="false" ht="36" hidden="false" customHeight="true" outlineLevel="0" collapsed="false">
      <c r="B38" s="6" t="s">
        <v>1279</v>
      </c>
      <c r="D38" s="6"/>
      <c r="F38" s="6"/>
    </row>
    <row r="39" customFormat="false" ht="15" hidden="false" customHeight="true" outlineLevel="0" collapsed="false">
      <c r="B39" s="6"/>
      <c r="D39" s="6"/>
      <c r="F39" s="6"/>
    </row>
    <row r="40" customFormat="false" ht="15" hidden="false" customHeight="true" outlineLevel="0" collapsed="false">
      <c r="B40" s="6"/>
      <c r="D40" s="6"/>
      <c r="F40" s="6"/>
    </row>
    <row r="41" customFormat="false" ht="36" hidden="false" customHeight="true" outlineLevel="0" collapsed="false">
      <c r="B41" s="222" t="s">
        <v>1280</v>
      </c>
      <c r="D41" s="6"/>
      <c r="F41" s="6"/>
    </row>
    <row r="42" customFormat="false" ht="15" hidden="false" customHeight="true" outlineLevel="0" collapsed="false">
      <c r="B42" s="6"/>
      <c r="D42" s="6"/>
      <c r="F42" s="6"/>
    </row>
    <row r="43" customFormat="false" ht="36" hidden="false" customHeight="true" outlineLevel="0" collapsed="false">
      <c r="B43" s="6" t="s">
        <v>1281</v>
      </c>
      <c r="D43" s="6"/>
      <c r="F43" s="6"/>
    </row>
    <row r="44" customFormat="false" ht="36" hidden="false" customHeight="true" outlineLevel="0" collapsed="false">
      <c r="B44" s="6" t="s">
        <v>1282</v>
      </c>
      <c r="D44" s="6"/>
      <c r="F44" s="6"/>
    </row>
    <row r="45" customFormat="false" ht="36" hidden="false" customHeight="true" outlineLevel="0" collapsed="false">
      <c r="B45" s="6" t="s">
        <v>1283</v>
      </c>
      <c r="D45" s="6"/>
      <c r="F45" s="6"/>
    </row>
    <row r="46" customFormat="false" ht="15" hidden="false" customHeight="true" outlineLevel="0" collapsed="false">
      <c r="B46" s="6" t="s">
        <v>1284</v>
      </c>
      <c r="D46" s="6"/>
      <c r="F46" s="6"/>
    </row>
    <row r="47" customFormat="false" ht="36" hidden="false" customHeight="true" outlineLevel="0" collapsed="false">
      <c r="B47" s="6" t="s">
        <v>1285</v>
      </c>
      <c r="D47" s="6"/>
      <c r="F47" s="6"/>
    </row>
    <row r="48" customFormat="false" ht="36" hidden="false" customHeight="true" outlineLevel="0" collapsed="false">
      <c r="B48" s="6" t="s">
        <v>1286</v>
      </c>
      <c r="D48" s="6"/>
      <c r="F48" s="6"/>
    </row>
    <row r="49" customFormat="false" ht="51" hidden="false" customHeight="true" outlineLevel="0" collapsed="false">
      <c r="B49" s="6" t="s">
        <v>1287</v>
      </c>
      <c r="D49" s="6"/>
      <c r="F49" s="6"/>
    </row>
    <row r="50" customFormat="false" ht="15" hidden="false" customHeight="true" outlineLevel="0" collapsed="false">
      <c r="B50" s="6"/>
      <c r="D50" s="6"/>
      <c r="F50" s="6"/>
    </row>
    <row r="51" customFormat="false" ht="36" hidden="false" customHeight="true" outlineLevel="0" collapsed="false">
      <c r="B51" s="6" t="s">
        <v>1288</v>
      </c>
      <c r="D51" s="6"/>
      <c r="F51" s="6"/>
    </row>
    <row r="52" customFormat="false" ht="51" hidden="false" customHeight="true" outlineLevel="0" collapsed="false">
      <c r="B52" s="6" t="s">
        <v>1289</v>
      </c>
      <c r="D52" s="6"/>
      <c r="F52" s="6"/>
    </row>
    <row r="53" customFormat="false" ht="15" hidden="false" customHeight="true" outlineLevel="0" collapsed="false">
      <c r="B53" s="6"/>
      <c r="D53" s="6"/>
      <c r="F53" s="6"/>
    </row>
    <row r="54" customFormat="false" ht="15" hidden="false" customHeight="true" outlineLevel="0" collapsed="false">
      <c r="B54" s="6"/>
      <c r="D54" s="6"/>
      <c r="F54" s="6"/>
    </row>
    <row r="55" customFormat="false" ht="36" hidden="false" customHeight="true" outlineLevel="0" collapsed="false">
      <c r="B55" s="222" t="s">
        <v>1290</v>
      </c>
      <c r="D55" s="6"/>
      <c r="F55" s="6"/>
    </row>
    <row r="56" customFormat="false" ht="15" hidden="false" customHeight="true" outlineLevel="0" collapsed="false">
      <c r="B56" s="6"/>
      <c r="D56" s="6"/>
      <c r="F56" s="6"/>
    </row>
    <row r="57" customFormat="false" ht="15" hidden="false" customHeight="true" outlineLevel="0" collapsed="false">
      <c r="B57" s="159" t="s">
        <v>1291</v>
      </c>
      <c r="C57" s="193" t="s">
        <v>1292</v>
      </c>
      <c r="D57" s="6"/>
      <c r="F57" s="6"/>
    </row>
    <row r="58" customFormat="false" ht="15" hidden="false" customHeight="true" outlineLevel="0" collapsed="false">
      <c r="B58" s="6" t="s">
        <v>1293</v>
      </c>
      <c r="C58" s="0" t="s">
        <v>1294</v>
      </c>
      <c r="D58" s="6"/>
      <c r="F58" s="6"/>
    </row>
    <row r="59" customFormat="false" ht="15" hidden="false" customHeight="true" outlineLevel="0" collapsed="false">
      <c r="B59" s="6" t="s">
        <v>1295</v>
      </c>
      <c r="C59" s="0" t="s">
        <v>1296</v>
      </c>
      <c r="D59" s="6"/>
      <c r="F59" s="6"/>
    </row>
    <row r="60" customFormat="false" ht="15" hidden="false" customHeight="true" outlineLevel="0" collapsed="false">
      <c r="B60" s="6" t="s">
        <v>1297</v>
      </c>
      <c r="C60" s="0" t="s">
        <v>1298</v>
      </c>
      <c r="D60" s="6"/>
      <c r="F60" s="6"/>
    </row>
    <row r="61" customFormat="false" ht="15" hidden="false" customHeight="true" outlineLevel="0" collapsed="false">
      <c r="B61" s="6" t="s">
        <v>1299</v>
      </c>
      <c r="C61" s="0" t="s">
        <v>1300</v>
      </c>
      <c r="D61" s="6"/>
      <c r="F61" s="6"/>
    </row>
    <row r="62" customFormat="false" ht="15" hidden="false" customHeight="true" outlineLevel="0" collapsed="false">
      <c r="B62" s="6" t="s">
        <v>1301</v>
      </c>
      <c r="C62" s="0" t="s">
        <v>1302</v>
      </c>
      <c r="D62" s="6"/>
      <c r="F62"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6" min="5" style="0" width="9"/>
    <col collapsed="false" customWidth="true" hidden="false" outlineLevel="0" max="7" min="7" style="0" width="11"/>
    <col collapsed="false" customWidth="true" hidden="false" outlineLevel="0" max="8" min="8" style="0" width="23"/>
    <col collapsed="false" customWidth="true" hidden="false" outlineLevel="0" max="11" min="9" style="0" width="9"/>
  </cols>
  <sheetData>
    <row r="1" customFormat="false" ht="3.75" hidden="false" customHeight="true" outlineLevel="0" collapsed="false">
      <c r="B1" s="6"/>
      <c r="G1" s="6"/>
    </row>
    <row r="2" customFormat="false" ht="27.75" hidden="false" customHeight="true" outlineLevel="0" collapsed="false">
      <c r="B2" s="1454" t="s">
        <v>7365</v>
      </c>
      <c r="C2" s="1454"/>
      <c r="D2" s="1454"/>
      <c r="E2" s="1454"/>
      <c r="F2" s="1454"/>
      <c r="G2" s="1454" t="s">
        <v>3432</v>
      </c>
      <c r="H2" s="1454"/>
      <c r="I2" s="1454"/>
      <c r="J2" s="1454"/>
    </row>
    <row r="3" customFormat="false" ht="33.75" hidden="false" customHeight="true" outlineLevel="0" collapsed="false">
      <c r="B3" s="1454" t="s">
        <v>7366</v>
      </c>
      <c r="C3" s="1454"/>
      <c r="D3" s="1454"/>
      <c r="E3" s="1454"/>
      <c r="F3" s="1454"/>
      <c r="G3" s="1454"/>
      <c r="H3" s="1454"/>
      <c r="I3" s="1454"/>
      <c r="J3" s="1454"/>
    </row>
    <row r="4" customFormat="false" ht="15" hidden="false" customHeight="true" outlineLevel="0" collapsed="false">
      <c r="B4" s="6"/>
      <c r="G4" s="6"/>
    </row>
    <row r="5" customFormat="false" ht="21.75" hidden="false" customHeight="true" outlineLevel="0" collapsed="false">
      <c r="B5" s="333" t="s">
        <v>4928</v>
      </c>
      <c r="C5" s="333"/>
      <c r="D5" s="333"/>
      <c r="E5" s="333"/>
      <c r="F5" s="333"/>
      <c r="G5" s="333"/>
      <c r="H5" s="333"/>
    </row>
    <row r="6" customFormat="false" ht="19.5" hidden="false" customHeight="true" outlineLevel="0" collapsed="false">
      <c r="B6" s="6" t="s">
        <v>4929</v>
      </c>
      <c r="C6" s="0" t="s">
        <v>2771</v>
      </c>
      <c r="D6" s="0" t="s">
        <v>4930</v>
      </c>
      <c r="F6" s="0" t="s">
        <v>4016</v>
      </c>
      <c r="G6" s="6" t="s">
        <v>4932</v>
      </c>
      <c r="H6" s="0" t="s">
        <v>778</v>
      </c>
    </row>
    <row r="7" customFormat="false" ht="16.5" hidden="false" customHeight="true" outlineLevel="0" collapsed="false">
      <c r="B7" s="6" t="s">
        <v>7367</v>
      </c>
      <c r="C7" s="0" t="n">
        <f aca="false">'Subleasing · Drivers'!C37</f>
        <v>6000</v>
      </c>
      <c r="D7" s="0" t="n">
        <f aca="false">C7/'Subleasing · Revenue'!E16</f>
        <v>0.0186915887850467</v>
      </c>
      <c r="F7" s="0" t="s">
        <v>3663</v>
      </c>
      <c r="G7" s="6" t="n">
        <v>0</v>
      </c>
      <c r="H7" s="0" t="s">
        <v>7368</v>
      </c>
    </row>
    <row r="8" customFormat="false" ht="16.5" hidden="false" customHeight="true" outlineLevel="0" collapsed="false">
      <c r="B8" s="6" t="s">
        <v>7369</v>
      </c>
      <c r="C8" s="0" t="n">
        <f aca="false">'Subleasing · Drivers'!C38</f>
        <v>8000</v>
      </c>
      <c r="D8" s="0" t="n">
        <f aca="false">C8/'Subleasing · Revenue'!E16</f>
        <v>0.0249221183800623</v>
      </c>
      <c r="F8" s="0" t="s">
        <v>3663</v>
      </c>
      <c r="G8" s="6" t="n">
        <v>0</v>
      </c>
      <c r="H8" s="0" t="s">
        <v>7370</v>
      </c>
    </row>
    <row r="9" customFormat="false" ht="16.5" hidden="false" customHeight="true" outlineLevel="0" collapsed="false">
      <c r="B9" s="6" t="s">
        <v>7371</v>
      </c>
      <c r="C9" s="0" t="n">
        <f aca="false">'Subleasing · Drivers'!C39</f>
        <v>4000</v>
      </c>
      <c r="D9" s="0" t="n">
        <f aca="false">C9/'Subleasing · Revenue'!E16</f>
        <v>0.0124610591900312</v>
      </c>
      <c r="F9" s="0" t="s">
        <v>3663</v>
      </c>
      <c r="G9" s="6" t="n">
        <v>0</v>
      </c>
      <c r="H9" s="0" t="s">
        <v>7372</v>
      </c>
    </row>
    <row r="10" customFormat="false" ht="16.5" hidden="false" customHeight="true" outlineLevel="0" collapsed="false">
      <c r="B10" s="6" t="s">
        <v>7373</v>
      </c>
      <c r="C10" s="0" t="n">
        <f aca="false">'Subleasing · Drivers'!C40</f>
        <v>3500</v>
      </c>
      <c r="D10" s="0" t="n">
        <f aca="false">C10/'Subleasing · Revenue'!E16</f>
        <v>0.0109034267912773</v>
      </c>
      <c r="F10" s="0" t="s">
        <v>3663</v>
      </c>
      <c r="G10" s="6" t="n">
        <v>0</v>
      </c>
      <c r="H10" s="0" t="s">
        <v>7304</v>
      </c>
    </row>
    <row r="11" customFormat="false" ht="16.5" hidden="false" customHeight="true" outlineLevel="0" collapsed="false">
      <c r="B11" s="6" t="s">
        <v>7374</v>
      </c>
      <c r="C11" s="0" t="n">
        <f aca="false">'Subleasing · Drivers'!C41*'Subleasing · Revenue'!E16</f>
        <v>6420</v>
      </c>
      <c r="D11" s="0" t="n">
        <f aca="false">C11/'Subleasing · Revenue'!E16</f>
        <v>0.02</v>
      </c>
      <c r="F11" s="0" t="s">
        <v>4027</v>
      </c>
      <c r="G11" s="6" t="n">
        <v>1</v>
      </c>
      <c r="H11" s="0" t="s">
        <v>7375</v>
      </c>
    </row>
    <row r="12" customFormat="false" ht="15" hidden="false" customHeight="true" outlineLevel="0" collapsed="false">
      <c r="B12" s="6" t="s">
        <v>7376</v>
      </c>
      <c r="C12" s="0" t="n">
        <v>0</v>
      </c>
      <c r="D12" s="0" t="n">
        <f aca="false">C12/'Subleasing · Revenue'!E16</f>
        <v>0</v>
      </c>
      <c r="F12" s="0" t="s">
        <v>4027</v>
      </c>
      <c r="G12" s="6" t="n">
        <v>1</v>
      </c>
      <c r="H12" s="0" t="s">
        <v>7377</v>
      </c>
    </row>
    <row r="13" customFormat="false" ht="16.5" hidden="false" customHeight="true" outlineLevel="0" collapsed="false">
      <c r="B13" s="6"/>
      <c r="G13" s="6"/>
    </row>
    <row r="14" customFormat="false" ht="16.5" hidden="false" customHeight="true" outlineLevel="0" collapsed="false">
      <c r="B14" s="6" t="s">
        <v>4953</v>
      </c>
      <c r="C14" s="0" t="n">
        <f aca="false">SUM(C7:C12)</f>
        <v>27920</v>
      </c>
      <c r="D14" s="0" t="n">
        <f aca="false">C14/'Subleasing · Revenue'!E16</f>
        <v>0.0869781931464174</v>
      </c>
      <c r="G14" s="6"/>
    </row>
    <row r="15" customFormat="false" ht="15" hidden="false" customHeight="true" outlineLevel="0" collapsed="false">
      <c r="B15" s="6"/>
      <c r="G15" s="6"/>
    </row>
    <row r="16" customFormat="false" ht="33.75" hidden="false" customHeight="true" outlineLevel="0" collapsed="false">
      <c r="B16" s="6" t="s">
        <v>7378</v>
      </c>
      <c r="C16" s="0" t="n">
        <f aca="false">C14</f>
        <v>27920</v>
      </c>
      <c r="D16" s="0" t="n">
        <f aca="false">C16/'Subleasing · Revenue'!E16</f>
        <v>0.0869781931464174</v>
      </c>
      <c r="G16" s="6"/>
    </row>
    <row r="17" customFormat="false" ht="15" hidden="false" customHeight="true" outlineLevel="0" collapsed="false">
      <c r="B17" s="6"/>
      <c r="G17" s="6"/>
    </row>
    <row r="18" customFormat="false" ht="21.75" hidden="false" customHeight="true" outlineLevel="0" collapsed="false">
      <c r="B18" s="333" t="s">
        <v>7134</v>
      </c>
      <c r="C18" s="333"/>
      <c r="D18" s="333"/>
      <c r="E18" s="333"/>
      <c r="F18" s="333"/>
      <c r="G18" s="333"/>
      <c r="H18" s="333"/>
    </row>
    <row r="19" customFormat="false" ht="15" hidden="false" customHeight="true" outlineLevel="0" collapsed="false">
      <c r="B19" s="6" t="s">
        <v>4957</v>
      </c>
      <c r="C19" s="0" t="n">
        <f aca="false">SUMPRODUCT(C7:C12,1-G7:G12)</f>
        <v>21500</v>
      </c>
      <c r="D19" s="0" t="n">
        <f aca="false">C19/C14</f>
        <v>0.770057306590258</v>
      </c>
      <c r="G19" s="6"/>
    </row>
    <row r="20" customFormat="false" ht="15" hidden="false" customHeight="true" outlineLevel="0" collapsed="false">
      <c r="B20" s="6" t="s">
        <v>4958</v>
      </c>
      <c r="C20" s="0" t="n">
        <f aca="false">SUMPRODUCT(C7:C12,G7:G12)</f>
        <v>6420</v>
      </c>
      <c r="D20" s="0" t="n">
        <f aca="false">C20/C14</f>
        <v>0.229942693409742</v>
      </c>
      <c r="G20" s="6"/>
    </row>
    <row r="21" customFormat="false" ht="15" hidden="false" customHeight="true" outlineLevel="0" collapsed="false">
      <c r="B21" s="6"/>
      <c r="G21" s="6"/>
    </row>
    <row r="22" customFormat="false" ht="15" hidden="false" customHeight="true" outlineLevel="0" collapsed="false">
      <c r="B22" s="6" t="s">
        <v>4959</v>
      </c>
      <c r="C22" s="0" t="n">
        <f aca="false">C20/'Subleasing · Revenue'!E16</f>
        <v>0.02</v>
      </c>
      <c r="G22" s="6"/>
    </row>
    <row r="23" customFormat="false" ht="15" hidden="false" customHeight="true" outlineLevel="0" collapsed="false">
      <c r="B23" s="6"/>
      <c r="G23" s="6"/>
    </row>
    <row r="24" customFormat="false" ht="15" hidden="false" customHeight="true" outlineLevel="0" collapsed="false">
      <c r="B24" s="6" t="s">
        <v>4961</v>
      </c>
      <c r="C24" s="0" t="str">
        <f aca="false">IF(ABS((C19+C20)-C14)&lt;1,"✓ Reconciles","✗ Diff: "&amp;TEXT((C19+C20)-C14,"$#,##0"))</f>
        <v>✓ Reconciles</v>
      </c>
      <c r="G24" s="6"/>
    </row>
    <row r="25" customFormat="false" ht="15" hidden="false" customHeight="true" outlineLevel="0" collapsed="false">
      <c r="B25" s="6"/>
      <c r="G25" s="6"/>
    </row>
    <row r="26" customFormat="false" ht="33.75" hidden="false" customHeight="true" outlineLevel="0" collapsed="false">
      <c r="B26" s="333" t="s">
        <v>7379</v>
      </c>
      <c r="C26" s="333"/>
      <c r="D26" s="333"/>
      <c r="E26" s="333"/>
      <c r="F26" s="333"/>
      <c r="G26" s="333"/>
      <c r="H26" s="333"/>
    </row>
    <row r="27" customFormat="false" ht="15" hidden="false" customHeight="true" outlineLevel="0" collapsed="false">
      <c r="B27" s="6" t="s">
        <v>4962</v>
      </c>
      <c r="C27" s="0" t="n">
        <f aca="false">'Subleasing · Revenue'!E16</f>
        <v>321000</v>
      </c>
      <c r="G27" s="6"/>
    </row>
    <row r="28" customFormat="false" ht="15" hidden="false" customHeight="true" outlineLevel="0" collapsed="false">
      <c r="B28" s="6" t="s">
        <v>4963</v>
      </c>
      <c r="C28" s="0" t="n">
        <f aca="false">-C14</f>
        <v>-27920</v>
      </c>
      <c r="G28" s="6"/>
    </row>
    <row r="29" customFormat="false" ht="17.25" hidden="false" customHeight="true" outlineLevel="0" collapsed="false">
      <c r="B29" s="6" t="s">
        <v>7380</v>
      </c>
      <c r="C29" s="0" t="n">
        <f aca="false">C27+C28</f>
        <v>293080</v>
      </c>
      <c r="G29" s="6"/>
    </row>
    <row r="30" customFormat="false" ht="15" hidden="false" customHeight="true" outlineLevel="0" collapsed="false">
      <c r="B30" s="6" t="s">
        <v>4991</v>
      </c>
      <c r="C30" s="0" t="n">
        <f aca="false">C29/C27</f>
        <v>0.913021806853583</v>
      </c>
      <c r="D30" s="0" t="s">
        <v>7381</v>
      </c>
      <c r="G30" s="6"/>
    </row>
  </sheetData>
  <mergeCells count="6">
    <mergeCell ref="B2:F2"/>
    <mergeCell ref="G2:J2"/>
    <mergeCell ref="B3:J3"/>
    <mergeCell ref="B5:H5"/>
    <mergeCell ref="B18:H18"/>
    <mergeCell ref="B26:H26"/>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K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7382</v>
      </c>
      <c r="C2" s="88"/>
      <c r="D2" s="88"/>
      <c r="E2" s="88"/>
      <c r="F2" s="88"/>
      <c r="G2" s="88"/>
      <c r="H2" s="89" t="s">
        <v>995</v>
      </c>
      <c r="I2" s="89"/>
      <c r="J2" s="89"/>
      <c r="K2" s="89"/>
    </row>
    <row r="3" customFormat="false" ht="33.75" hidden="false" customHeight="true" outlineLevel="0" collapsed="false">
      <c r="B3" s="90" t="s">
        <v>5924</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206</v>
      </c>
      <c r="C5" s="98" t="s">
        <v>760</v>
      </c>
      <c r="D5" s="98" t="s">
        <v>908</v>
      </c>
      <c r="E5" s="98" t="s">
        <v>765</v>
      </c>
      <c r="F5" s="98" t="s">
        <v>770</v>
      </c>
      <c r="G5" s="98" t="s">
        <v>909</v>
      </c>
      <c r="H5" s="98" t="s">
        <v>910</v>
      </c>
      <c r="I5" s="98" t="s">
        <v>911</v>
      </c>
      <c r="J5" s="98" t="s">
        <v>912</v>
      </c>
      <c r="K5" s="99" t="s">
        <v>875</v>
      </c>
    </row>
    <row r="6" customFormat="false" ht="15" hidden="false" customHeight="true" outlineLevel="0" collapsed="false">
      <c r="B6" s="592" t="s">
        <v>4059</v>
      </c>
      <c r="C6" s="1378" t="n">
        <v>0.8</v>
      </c>
      <c r="D6" s="1378" t="n">
        <v>0.9</v>
      </c>
      <c r="E6" s="1378" t="n">
        <v>1</v>
      </c>
      <c r="F6" s="1378" t="n">
        <v>1</v>
      </c>
      <c r="G6" s="1378" t="n">
        <v>1</v>
      </c>
      <c r="H6" s="1378" t="n">
        <v>1.05</v>
      </c>
      <c r="I6" s="1378" t="n">
        <v>1.05</v>
      </c>
      <c r="J6" s="1378" t="n">
        <v>1.05</v>
      </c>
      <c r="K6" s="6"/>
    </row>
    <row r="7" customFormat="false" ht="15" hidden="false" customHeight="true" outlineLevel="0" collapsed="false">
      <c r="B7" s="592" t="s">
        <v>5925</v>
      </c>
      <c r="C7" s="1379" t="n">
        <f aca="false">(1+0.03)^0</f>
        <v>1</v>
      </c>
      <c r="D7" s="1379" t="n">
        <f aca="false">(1+0.03)^1</f>
        <v>1.03</v>
      </c>
      <c r="E7" s="1379" t="n">
        <f aca="false">(1+0.03)^2</f>
        <v>1.0609</v>
      </c>
      <c r="F7" s="1379" t="n">
        <f aca="false">(1+0.03)^3</f>
        <v>1.092727</v>
      </c>
      <c r="G7" s="1379" t="n">
        <f aca="false">(1+0.03)^4</f>
        <v>1.12550881</v>
      </c>
      <c r="H7" s="1379" t="n">
        <f aca="false">(1+0.03)^5</f>
        <v>1.1592740743</v>
      </c>
      <c r="I7" s="1379" t="n">
        <f aca="false">(1+0.03)^6</f>
        <v>1.194052296529</v>
      </c>
      <c r="J7" s="1379" t="n">
        <f aca="false">(1+0.03)^7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380" t="s">
        <v>4062</v>
      </c>
      <c r="C10" s="720" t="n">
        <f aca="false">'Subleasing · Revenue'!E30</f>
        <v>321000</v>
      </c>
      <c r="D10" s="720" t="n">
        <f aca="false">'Subleasing · Revenue'!E30</f>
        <v>321000</v>
      </c>
      <c r="E10" s="720" t="n">
        <f aca="false">'Subleasing · Revenue'!E30</f>
        <v>321000</v>
      </c>
      <c r="F10" s="720" t="n">
        <f aca="false">'Subleasing · Revenue'!E30</f>
        <v>321000</v>
      </c>
      <c r="G10" s="720" t="n">
        <f aca="false">'Subleasing · Revenue'!E30</f>
        <v>321000</v>
      </c>
      <c r="H10" s="720" t="n">
        <f aca="false">'Subleasing · Revenue'!E30</f>
        <v>321000</v>
      </c>
      <c r="I10" s="720" t="n">
        <f aca="false">'Subleasing · Revenue'!E30</f>
        <v>321000</v>
      </c>
      <c r="J10" s="720" t="n">
        <f aca="false">'Subleasing · Revenue'!E30</f>
        <v>321000</v>
      </c>
      <c r="K10" s="6"/>
    </row>
    <row r="11" customFormat="false" ht="15" hidden="false" customHeight="true" outlineLevel="0" collapsed="false">
      <c r="B11" s="81" t="s">
        <v>4063</v>
      </c>
      <c r="C11" s="544" t="n">
        <f aca="false">'Subleasing · Revenue'!E30*C6*C7</f>
        <v>256800</v>
      </c>
      <c r="D11" s="544" t="n">
        <f aca="false">'Subleasing · Revenue'!E30*D6*D7</f>
        <v>297567</v>
      </c>
      <c r="E11" s="544" t="n">
        <f aca="false">'Subleasing · Revenue'!E30*E6*E7</f>
        <v>340548.9</v>
      </c>
      <c r="F11" s="544" t="n">
        <f aca="false">'Subleasing · Revenue'!E30*F6*F7</f>
        <v>350765.367</v>
      </c>
      <c r="G11" s="544" t="n">
        <f aca="false">'Subleasing · Revenue'!E30*G6*G7</f>
        <v>361288.32801</v>
      </c>
      <c r="H11" s="544" t="n">
        <f aca="false">'Subleasing · Revenue'!E30*H6*H7</f>
        <v>390733.326742815</v>
      </c>
      <c r="I11" s="544" t="n">
        <f aca="false">'Subleasing · Revenue'!E30*I6*I7</f>
        <v>402455.3265451</v>
      </c>
      <c r="J11" s="544" t="n">
        <f aca="false">'Subleasing · Revenue'!E30*J6*J7</f>
        <v>414528.986341453</v>
      </c>
      <c r="K11" s="1381" t="n">
        <f aca="false">SUM(C11:J11)</f>
        <v>2814687.23463937</v>
      </c>
    </row>
    <row r="12" customFormat="false" ht="15" hidden="false" customHeight="true" outlineLevel="0" collapsed="false">
      <c r="B12" s="1382" t="s">
        <v>4064</v>
      </c>
      <c r="D12" s="593" t="n">
        <f aca="false">D11/C11-1</f>
        <v>0.15875</v>
      </c>
      <c r="E12" s="593" t="n">
        <f aca="false">E11/D11-1</f>
        <v>0.144444444444444</v>
      </c>
      <c r="F12" s="593" t="n">
        <f aca="false">F11/E11-1</f>
        <v>0.0300000000000003</v>
      </c>
      <c r="G12" s="593" t="n">
        <f aca="false">G11/F11-1</f>
        <v>0.03</v>
      </c>
      <c r="H12" s="593" t="n">
        <f aca="false">H11/G11-1</f>
        <v>0.0814999999999999</v>
      </c>
      <c r="I12" s="593" t="n">
        <f aca="false">I11/H11-1</f>
        <v>0.03</v>
      </c>
      <c r="J12" s="593"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4066</v>
      </c>
      <c r="C15" s="360" t="n">
        <f aca="false">'Subleasing · Costs'!C19*C7</f>
        <v>21500</v>
      </c>
      <c r="D15" s="360" t="n">
        <f aca="false">'Subleasing · Costs'!C19*D7</f>
        <v>22145</v>
      </c>
      <c r="E15" s="360" t="n">
        <f aca="false">'Subleasing · Costs'!C19*E7</f>
        <v>22809.35</v>
      </c>
      <c r="F15" s="360" t="n">
        <f aca="false">'Subleasing · Costs'!C19*F7</f>
        <v>23493.6305</v>
      </c>
      <c r="G15" s="360" t="n">
        <f aca="false">'Subleasing · Costs'!C19*G7</f>
        <v>24198.439415</v>
      </c>
      <c r="H15" s="360" t="n">
        <f aca="false">'Subleasing · Costs'!C19*H7</f>
        <v>24924.39259745</v>
      </c>
      <c r="I15" s="360" t="n">
        <f aca="false">'Subleasing · Costs'!C19*I7</f>
        <v>25672.1243753735</v>
      </c>
      <c r="J15" s="360" t="n">
        <f aca="false">'Subleasing · Costs'!C19*J7</f>
        <v>26442.2881066347</v>
      </c>
      <c r="K15" s="6"/>
    </row>
    <row r="16" customFormat="false" ht="15" hidden="false" customHeight="true" outlineLevel="0" collapsed="false">
      <c r="B16" s="126" t="s">
        <v>4067</v>
      </c>
      <c r="C16" s="360" t="n">
        <f aca="false">'Subleasing · Costs'!C20*C6*C7</f>
        <v>5136</v>
      </c>
      <c r="D16" s="360" t="n">
        <f aca="false">'Subleasing · Costs'!C20*D6*D7</f>
        <v>5951.34</v>
      </c>
      <c r="E16" s="360" t="n">
        <f aca="false">'Subleasing · Costs'!C20*E6*E7</f>
        <v>6810.978</v>
      </c>
      <c r="F16" s="360" t="n">
        <f aca="false">'Subleasing · Costs'!C20*F6*F7</f>
        <v>7015.30734</v>
      </c>
      <c r="G16" s="360" t="n">
        <f aca="false">'Subleasing · Costs'!C20*G6*G7</f>
        <v>7225.7665602</v>
      </c>
      <c r="H16" s="360" t="n">
        <f aca="false">'Subleasing · Costs'!C20*H6*H7</f>
        <v>7814.6665348563</v>
      </c>
      <c r="I16" s="360" t="n">
        <f aca="false">'Subleasing · Costs'!C20*I6*I7</f>
        <v>8049.10653090199</v>
      </c>
      <c r="J16" s="360" t="n">
        <f aca="false">'Subleasing · Costs'!C20*J6*J7</f>
        <v>8290.57972682905</v>
      </c>
      <c r="K16" s="6"/>
    </row>
    <row r="17" customFormat="false" ht="15" hidden="false" customHeight="true" outlineLevel="0" collapsed="false">
      <c r="B17" s="81" t="s">
        <v>4068</v>
      </c>
      <c r="C17" s="599" t="n">
        <f aca="false">C15+C16</f>
        <v>26636</v>
      </c>
      <c r="D17" s="599" t="n">
        <f aca="false">D15+D16</f>
        <v>28096.34</v>
      </c>
      <c r="E17" s="599" t="n">
        <f aca="false">E15+E16</f>
        <v>29620.328</v>
      </c>
      <c r="F17" s="599" t="n">
        <f aca="false">F15+F16</f>
        <v>30508.93784</v>
      </c>
      <c r="G17" s="599" t="n">
        <f aca="false">G15+G16</f>
        <v>31424.2059752</v>
      </c>
      <c r="H17" s="599" t="n">
        <f aca="false">H15+H16</f>
        <v>32739.0591323063</v>
      </c>
      <c r="I17" s="599" t="n">
        <f aca="false">I15+I16</f>
        <v>33721.2309062755</v>
      </c>
      <c r="J17" s="599" t="n">
        <f aca="false">J15+J16</f>
        <v>34732.8678334638</v>
      </c>
      <c r="K17" s="1381" t="n">
        <f aca="false">SUM(C17:J17)</f>
        <v>247478.969687246</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15" hidden="false" customHeight="true" outlineLevel="0" collapsed="false">
      <c r="B20" s="81" t="s">
        <v>3437</v>
      </c>
      <c r="C20" s="577" t="n">
        <f aca="false">C11-C17</f>
        <v>230164</v>
      </c>
      <c r="D20" s="577" t="n">
        <f aca="false">D11-D17</f>
        <v>269470.66</v>
      </c>
      <c r="E20" s="577" t="n">
        <f aca="false">E11-E17</f>
        <v>310928.572</v>
      </c>
      <c r="F20" s="577" t="n">
        <f aca="false">F11-F17</f>
        <v>320256.42916</v>
      </c>
      <c r="G20" s="577" t="n">
        <f aca="false">G11-G17</f>
        <v>329864.1220348</v>
      </c>
      <c r="H20" s="577" t="n">
        <f aca="false">H11-H17</f>
        <v>357994.267610509</v>
      </c>
      <c r="I20" s="577" t="n">
        <f aca="false">I11-I17</f>
        <v>368734.095638824</v>
      </c>
      <c r="J20" s="577" t="n">
        <f aca="false">J11-J17</f>
        <v>379796.118507989</v>
      </c>
      <c r="K20" s="1383" t="n">
        <f aca="false">SUM(C20:J20)</f>
        <v>2567208.26495212</v>
      </c>
    </row>
    <row r="21" customFormat="false" ht="15" hidden="false" customHeight="true" outlineLevel="0" collapsed="false">
      <c r="B21" s="1382" t="s">
        <v>4387</v>
      </c>
      <c r="C21" s="593" t="n">
        <f aca="false">C20/C11</f>
        <v>0.896277258566978</v>
      </c>
      <c r="D21" s="593" t="n">
        <f aca="false">D20/D11</f>
        <v>0.905579785392869</v>
      </c>
      <c r="E21" s="593" t="n">
        <f aca="false">E20/E11</f>
        <v>0.913021806853583</v>
      </c>
      <c r="F21" s="593" t="n">
        <f aca="false">F20/F11</f>
        <v>0.913021806853583</v>
      </c>
      <c r="G21" s="593" t="n">
        <f aca="false">G20/G11</f>
        <v>0.913021806853583</v>
      </c>
      <c r="H21" s="593" t="n">
        <f aca="false">H20/H11</f>
        <v>0.91621124462246</v>
      </c>
      <c r="I21" s="593" t="n">
        <f aca="false">I20/I11</f>
        <v>0.91621124462246</v>
      </c>
      <c r="J21" s="593" t="n">
        <f aca="false">J20/J11</f>
        <v>0.91621124462246</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1164" t="s">
        <v>4072</v>
      </c>
      <c r="C24" s="387" t="n">
        <f aca="false">C11</f>
        <v>256800</v>
      </c>
      <c r="D24" s="387" t="n">
        <f aca="false">C24+D11</f>
        <v>554367</v>
      </c>
      <c r="E24" s="387" t="n">
        <f aca="false">D24+E11</f>
        <v>894915.9</v>
      </c>
      <c r="F24" s="387" t="n">
        <f aca="false">E24+F11</f>
        <v>1245681.267</v>
      </c>
      <c r="G24" s="387" t="n">
        <f aca="false">F24+G11</f>
        <v>1606969.59501</v>
      </c>
      <c r="H24" s="387" t="n">
        <f aca="false">G24+H11</f>
        <v>1997702.92175282</v>
      </c>
      <c r="I24" s="387" t="n">
        <f aca="false">H24+I11</f>
        <v>2400158.24829792</v>
      </c>
      <c r="J24" s="387" t="n">
        <f aca="false">I24+J11</f>
        <v>2814687.23463937</v>
      </c>
      <c r="K24" s="6"/>
    </row>
    <row r="25" customFormat="false" ht="15" hidden="false" customHeight="true" outlineLevel="0" collapsed="false">
      <c r="B25" s="1164" t="s">
        <v>4073</v>
      </c>
      <c r="C25" s="387" t="n">
        <f aca="false">C20</f>
        <v>230164</v>
      </c>
      <c r="D25" s="387" t="n">
        <f aca="false">C25+D20</f>
        <v>499634.66</v>
      </c>
      <c r="E25" s="387" t="n">
        <f aca="false">D25+E20</f>
        <v>810563.232</v>
      </c>
      <c r="F25" s="387" t="n">
        <f aca="false">E25+F20</f>
        <v>1130819.66116</v>
      </c>
      <c r="G25" s="387" t="n">
        <f aca="false">F25+G20</f>
        <v>1460683.7831948</v>
      </c>
      <c r="H25" s="387" t="n">
        <f aca="false">G25+H20</f>
        <v>1818678.05080531</v>
      </c>
      <c r="I25" s="387" t="n">
        <f aca="false">H25+I20</f>
        <v>2187412.14644413</v>
      </c>
      <c r="J25" s="387" t="n">
        <f aca="false">I25+J20</f>
        <v>2567208.26495212</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125" t="s">
        <v>5926</v>
      </c>
      <c r="C28" s="125"/>
      <c r="D28" s="125"/>
      <c r="E28" s="125"/>
      <c r="F28" s="125"/>
      <c r="G28" s="125"/>
      <c r="H28" s="125"/>
      <c r="I28" s="125"/>
      <c r="J28" s="125"/>
      <c r="K28" s="125"/>
    </row>
    <row r="29" customFormat="false" ht="21.75" hidden="false" customHeight="true" outlineLevel="0" collapsed="false">
      <c r="B29" s="97" t="s">
        <v>206</v>
      </c>
      <c r="C29" s="98" t="s">
        <v>393</v>
      </c>
      <c r="D29" s="98" t="s">
        <v>778</v>
      </c>
      <c r="K29" s="6"/>
    </row>
    <row r="30" customFormat="false" ht="15" hidden="false" customHeight="true" outlineLevel="0" collapsed="false">
      <c r="B30" s="113" t="s">
        <v>4075</v>
      </c>
      <c r="C30" s="544" t="n">
        <f aca="false">C11</f>
        <v>256800</v>
      </c>
      <c r="D30" s="634" t="s">
        <v>5927</v>
      </c>
      <c r="K30" s="6"/>
    </row>
    <row r="31" customFormat="false" ht="15" hidden="false" customHeight="true" outlineLevel="0" collapsed="false">
      <c r="B31" s="113" t="s">
        <v>4077</v>
      </c>
      <c r="C31" s="544" t="n">
        <f aca="false">J11</f>
        <v>414528.986341453</v>
      </c>
      <c r="D31" s="634" t="s">
        <v>5928</v>
      </c>
      <c r="K31" s="6"/>
    </row>
    <row r="32" customFormat="false" ht="15" hidden="false" customHeight="true" outlineLevel="0" collapsed="false">
      <c r="B32" s="113" t="s">
        <v>3460</v>
      </c>
      <c r="C32" s="544" t="n">
        <f aca="false">K11</f>
        <v>2814687.23463937</v>
      </c>
      <c r="D32" s="634" t="s">
        <v>4079</v>
      </c>
      <c r="K32" s="6"/>
    </row>
    <row r="33" customFormat="false" ht="15" hidden="false" customHeight="true" outlineLevel="0" collapsed="false">
      <c r="B33" s="113" t="s">
        <v>5929</v>
      </c>
      <c r="C33" s="544" t="n">
        <f aca="false">K20</f>
        <v>2567208.26495212</v>
      </c>
      <c r="D33" s="634" t="s">
        <v>4081</v>
      </c>
      <c r="K33" s="6"/>
    </row>
    <row r="34" customFormat="false" ht="15" hidden="false" customHeight="true" outlineLevel="0" collapsed="false">
      <c r="B34" s="113" t="s">
        <v>5930</v>
      </c>
      <c r="C34" s="1288" t="n">
        <f aca="false">K20/K11</f>
        <v>0.912075854595278</v>
      </c>
      <c r="D34" s="634" t="s">
        <v>4083</v>
      </c>
      <c r="K34" s="6"/>
    </row>
    <row r="35" customFormat="false" ht="15" hidden="false" customHeight="true" outlineLevel="0" collapsed="false">
      <c r="B35" s="113" t="s">
        <v>4084</v>
      </c>
      <c r="C35" s="1288" t="n">
        <f aca="false">(J11/C11)^(1/7)-1</f>
        <v>0.0708004745979443</v>
      </c>
      <c r="D35" s="634" t="s">
        <v>4085</v>
      </c>
      <c r="K35" s="6"/>
    </row>
  </sheetData>
  <mergeCells count="8">
    <mergeCell ref="B2:G2"/>
    <mergeCell ref="H2:K2"/>
    <mergeCell ref="B3:K3"/>
    <mergeCell ref="B9:K9"/>
    <mergeCell ref="B14:K14"/>
    <mergeCell ref="B19:K19"/>
    <mergeCell ref="B23:K23"/>
    <mergeCell ref="B28:K2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7383</v>
      </c>
      <c r="C2" s="15"/>
      <c r="D2" s="15"/>
      <c r="E2" s="15"/>
      <c r="F2" s="15"/>
      <c r="G2" s="15"/>
      <c r="H2" s="89" t="s">
        <v>995</v>
      </c>
      <c r="I2" s="89"/>
      <c r="J2" s="89"/>
      <c r="K2" s="89"/>
    </row>
    <row r="3" customFormat="false" ht="33.75" hidden="false" customHeight="true" outlineLevel="0" collapsed="false">
      <c r="B3" s="90" t="s">
        <v>5932</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575" t="s">
        <v>4061</v>
      </c>
      <c r="C6" s="575"/>
      <c r="D6" s="575"/>
      <c r="E6" s="575"/>
      <c r="F6" s="575"/>
      <c r="G6" s="575"/>
      <c r="H6" s="575"/>
      <c r="I6" s="575"/>
      <c r="J6" s="575"/>
      <c r="K6" s="575"/>
    </row>
    <row r="7" customFormat="false" ht="15" hidden="false" customHeight="true" outlineLevel="0" collapsed="false">
      <c r="B7" s="81" t="s">
        <v>207</v>
      </c>
      <c r="C7" s="406" t="n">
        <f aca="false">'Subleasing · 8-Year'!C11</f>
        <v>256800</v>
      </c>
      <c r="D7" s="406" t="n">
        <f aca="false">'Subleasing · 8-Year'!D11</f>
        <v>297567</v>
      </c>
      <c r="E7" s="406" t="n">
        <f aca="false">'Subleasing · 8-Year'!E11</f>
        <v>340548.9</v>
      </c>
      <c r="F7" s="406" t="n">
        <f aca="false">'Subleasing · 8-Year'!F11</f>
        <v>350765.367</v>
      </c>
      <c r="G7" s="406" t="n">
        <f aca="false">'Subleasing · 8-Year'!G11</f>
        <v>361288.32801</v>
      </c>
      <c r="H7" s="406" t="n">
        <f aca="false">'Subleasing · 8-Year'!H11</f>
        <v>390733.326742815</v>
      </c>
      <c r="I7" s="406" t="n">
        <f aca="false">'Subleasing · 8-Year'!I11</f>
        <v>402455.3265451</v>
      </c>
      <c r="J7" s="406" t="n">
        <f aca="false">'Subleasing · 8-Year'!J11</f>
        <v>414528.986341453</v>
      </c>
      <c r="K7" s="546" t="n">
        <f aca="false">SUM(C7:J7)</f>
        <v>2814687.23463937</v>
      </c>
    </row>
    <row r="8" customFormat="false" ht="15" hidden="false" customHeight="true" outlineLevel="0" collapsed="false">
      <c r="B8" s="6"/>
      <c r="K8" s="6"/>
    </row>
    <row r="9" customFormat="false" ht="21.75" hidden="false" customHeight="true" outlineLevel="0" collapsed="false">
      <c r="B9" s="123" t="s">
        <v>4091</v>
      </c>
      <c r="C9" s="123"/>
      <c r="D9" s="123"/>
      <c r="E9" s="123"/>
      <c r="F9" s="123"/>
      <c r="G9" s="123"/>
      <c r="H9" s="123"/>
      <c r="I9" s="123"/>
      <c r="J9" s="123"/>
      <c r="K9" s="123"/>
    </row>
    <row r="10" customFormat="false" ht="15" hidden="false" customHeight="true" outlineLevel="0" collapsed="false">
      <c r="B10" s="113" t="s">
        <v>4092</v>
      </c>
      <c r="C10" s="360" t="n">
        <f aca="false">-'Subleasing · 8-Year'!C17</f>
        <v>-26636</v>
      </c>
      <c r="D10" s="360" t="n">
        <f aca="false">-'Subleasing · 8-Year'!D17</f>
        <v>-28096.34</v>
      </c>
      <c r="E10" s="360" t="n">
        <f aca="false">-'Subleasing · 8-Year'!E17</f>
        <v>-29620.328</v>
      </c>
      <c r="F10" s="360" t="n">
        <f aca="false">-'Subleasing · 8-Year'!F17</f>
        <v>-30508.93784</v>
      </c>
      <c r="G10" s="360" t="n">
        <f aca="false">-'Subleasing · 8-Year'!G17</f>
        <v>-31424.2059752</v>
      </c>
      <c r="H10" s="360" t="n">
        <f aca="false">-'Subleasing · 8-Year'!H17</f>
        <v>-32739.0591323063</v>
      </c>
      <c r="I10" s="360" t="n">
        <f aca="false">-'Subleasing · 8-Year'!I17</f>
        <v>-33721.2309062755</v>
      </c>
      <c r="J10" s="360" t="n">
        <f aca="false">-'Subleasing · 8-Year'!J17</f>
        <v>-34732.8678334638</v>
      </c>
      <c r="K10" s="1384" t="n">
        <f aca="false">SUM(C10:J10)</f>
        <v>-247478.969687246</v>
      </c>
    </row>
    <row r="11" customFormat="false" ht="15" hidden="false" customHeight="true" outlineLevel="0" collapsed="false">
      <c r="B11" s="6"/>
      <c r="K11" s="6"/>
    </row>
    <row r="12" customFormat="false" ht="21.75" hidden="false" customHeight="true" outlineLevel="0" collapsed="false">
      <c r="B12" s="72" t="s">
        <v>4093</v>
      </c>
      <c r="C12" s="72"/>
      <c r="D12" s="72"/>
      <c r="E12" s="72"/>
      <c r="F12" s="72"/>
      <c r="G12" s="72"/>
      <c r="H12" s="72"/>
      <c r="I12" s="72"/>
      <c r="J12" s="72"/>
      <c r="K12" s="72"/>
    </row>
    <row r="13" customFormat="false" ht="15" hidden="false" customHeight="true" outlineLevel="0" collapsed="false">
      <c r="B13" s="81" t="s">
        <v>4094</v>
      </c>
      <c r="C13" s="577" t="n">
        <f aca="false">C7+C10</f>
        <v>230164</v>
      </c>
      <c r="D13" s="577" t="n">
        <f aca="false">D7+D10</f>
        <v>269470.66</v>
      </c>
      <c r="E13" s="577" t="n">
        <f aca="false">E7+E10</f>
        <v>310928.572</v>
      </c>
      <c r="F13" s="577" t="n">
        <f aca="false">F7+F10</f>
        <v>320256.42916</v>
      </c>
      <c r="G13" s="577" t="n">
        <f aca="false">G7+G10</f>
        <v>329864.1220348</v>
      </c>
      <c r="H13" s="577" t="n">
        <f aca="false">H7+H10</f>
        <v>357994.267610509</v>
      </c>
      <c r="I13" s="577" t="n">
        <f aca="false">I7+I10</f>
        <v>368734.095638824</v>
      </c>
      <c r="J13" s="577" t="n">
        <f aca="false">J7+J10</f>
        <v>379796.118507989</v>
      </c>
      <c r="K13" s="1383" t="n">
        <f aca="false">SUM(C13:J13)</f>
        <v>2567208.26495212</v>
      </c>
    </row>
    <row r="14" customFormat="false" ht="15" hidden="false" customHeight="true" outlineLevel="0" collapsed="false">
      <c r="B14" s="1382" t="s">
        <v>4095</v>
      </c>
      <c r="C14" s="593" t="n">
        <f aca="false">C13/C7</f>
        <v>0.896277258566978</v>
      </c>
      <c r="D14" s="593" t="n">
        <f aca="false">D13/D7</f>
        <v>0.905579785392869</v>
      </c>
      <c r="E14" s="593" t="n">
        <f aca="false">E13/E7</f>
        <v>0.913021806853583</v>
      </c>
      <c r="F14" s="593" t="n">
        <f aca="false">F13/F7</f>
        <v>0.913021806853583</v>
      </c>
      <c r="G14" s="593" t="n">
        <f aca="false">G13/G7</f>
        <v>0.913021806853583</v>
      </c>
      <c r="H14" s="593" t="n">
        <f aca="false">H13/H7</f>
        <v>0.91621124462246</v>
      </c>
      <c r="I14" s="593" t="n">
        <f aca="false">I13/I7</f>
        <v>0.91621124462246</v>
      </c>
      <c r="J14" s="593" t="n">
        <f aca="false">J13/J7</f>
        <v>0.91621124462246</v>
      </c>
      <c r="K14" s="6"/>
    </row>
    <row r="15" customFormat="false" ht="15" hidden="false" customHeight="true" outlineLevel="0" collapsed="false">
      <c r="B15" s="6"/>
      <c r="K15" s="6"/>
    </row>
    <row r="16" customFormat="false" ht="15" hidden="false" customHeight="true" outlineLevel="0" collapsed="false">
      <c r="B16" s="592" t="s">
        <v>4096</v>
      </c>
      <c r="D16" s="593" t="n">
        <f aca="false">D7/C7-1</f>
        <v>0.15875</v>
      </c>
      <c r="E16" s="593" t="n">
        <f aca="false">E7/D7-1</f>
        <v>0.144444444444444</v>
      </c>
      <c r="F16" s="593" t="n">
        <f aca="false">F7/E7-1</f>
        <v>0.0300000000000003</v>
      </c>
      <c r="G16" s="593" t="n">
        <f aca="false">G7/F7-1</f>
        <v>0.03</v>
      </c>
      <c r="H16" s="593" t="n">
        <f aca="false">H7/G7-1</f>
        <v>0.0814999999999999</v>
      </c>
      <c r="I16" s="593" t="n">
        <f aca="false">I7/H7-1</f>
        <v>0.03</v>
      </c>
      <c r="J16" s="593" t="n">
        <f aca="false">J7/I7-1</f>
        <v>0.03</v>
      </c>
      <c r="K16" s="6"/>
    </row>
    <row r="17" customFormat="false" ht="15" hidden="false" customHeight="true" outlineLevel="0" collapsed="false">
      <c r="B17" s="6"/>
      <c r="K17" s="6"/>
    </row>
    <row r="18" customFormat="false" ht="15" hidden="false" customHeight="true" outlineLevel="0" collapsed="false">
      <c r="B18" s="6"/>
      <c r="K18" s="6"/>
    </row>
    <row r="19" customFormat="false" ht="21.75" hidden="false" customHeight="true" outlineLevel="0" collapsed="false">
      <c r="B19" s="575" t="s">
        <v>4097</v>
      </c>
      <c r="C19" s="575"/>
      <c r="D19" s="575"/>
      <c r="E19" s="575"/>
      <c r="F19" s="575"/>
      <c r="G19" s="575"/>
      <c r="H19" s="575"/>
      <c r="I19" s="575"/>
      <c r="J19" s="575"/>
      <c r="K19" s="575"/>
    </row>
    <row r="20" customFormat="false" ht="21.75" hidden="false" customHeight="true" outlineLevel="0" collapsed="false">
      <c r="B20" s="97" t="s">
        <v>206</v>
      </c>
      <c r="C20" s="98" t="s">
        <v>393</v>
      </c>
      <c r="D20" s="98" t="s">
        <v>86</v>
      </c>
      <c r="K20" s="6"/>
    </row>
    <row r="21" customFormat="false" ht="15" hidden="false" customHeight="true" outlineLevel="0" collapsed="false">
      <c r="B21" s="113" t="s">
        <v>3457</v>
      </c>
      <c r="C21" s="544" t="n">
        <f aca="false">C7</f>
        <v>256800</v>
      </c>
      <c r="D21" s="634" t="s">
        <v>5933</v>
      </c>
      <c r="K21" s="6"/>
    </row>
    <row r="22" customFormat="false" ht="15" hidden="false" customHeight="true" outlineLevel="0" collapsed="false">
      <c r="B22" s="113" t="s">
        <v>3458</v>
      </c>
      <c r="C22" s="544" t="n">
        <f aca="false">F7</f>
        <v>350765.367</v>
      </c>
      <c r="D22" s="634" t="s">
        <v>4099</v>
      </c>
      <c r="K22" s="6"/>
    </row>
    <row r="23" customFormat="false" ht="15" hidden="false" customHeight="true" outlineLevel="0" collapsed="false">
      <c r="B23" s="113" t="s">
        <v>4100</v>
      </c>
      <c r="C23" s="544" t="n">
        <f aca="false">J7</f>
        <v>414528.986341453</v>
      </c>
      <c r="D23" s="634" t="s">
        <v>4101</v>
      </c>
      <c r="K23" s="6"/>
    </row>
    <row r="24" customFormat="false" ht="15" hidden="false" customHeight="true" outlineLevel="0" collapsed="false">
      <c r="B24" s="113" t="s">
        <v>3460</v>
      </c>
      <c r="C24" s="544" t="n">
        <f aca="false">K7</f>
        <v>2814687.23463937</v>
      </c>
      <c r="D24" s="634" t="s">
        <v>4102</v>
      </c>
      <c r="K24" s="6"/>
    </row>
    <row r="25" customFormat="false" ht="15" hidden="false" customHeight="true" outlineLevel="0" collapsed="false">
      <c r="B25" s="113" t="s">
        <v>3461</v>
      </c>
      <c r="C25" s="544" t="n">
        <f aca="false">K13</f>
        <v>2567208.26495212</v>
      </c>
      <c r="D25" s="634" t="s">
        <v>4103</v>
      </c>
      <c r="K25" s="6"/>
    </row>
    <row r="26" customFormat="false" ht="15" hidden="false" customHeight="true" outlineLevel="0" collapsed="false">
      <c r="B26" s="113" t="s">
        <v>4104</v>
      </c>
      <c r="C26" s="1288" t="n">
        <f aca="false">K13/K7</f>
        <v>0.912075854595278</v>
      </c>
      <c r="D26" s="634" t="s">
        <v>4105</v>
      </c>
      <c r="K26" s="6"/>
    </row>
    <row r="27" customFormat="false" ht="15" hidden="false" customHeight="true" outlineLevel="0" collapsed="false">
      <c r="B27" s="113" t="s">
        <v>4106</v>
      </c>
      <c r="C27" s="1288" t="n">
        <f aca="false">(J7/C7)^(1/7)-1</f>
        <v>0.0708004745979443</v>
      </c>
      <c r="D27" s="634" t="s">
        <v>4107</v>
      </c>
      <c r="K27" s="6"/>
    </row>
    <row r="28" customFormat="false" ht="15" hidden="false" customHeight="true" outlineLevel="0" collapsed="false">
      <c r="B28" s="6"/>
      <c r="K28" s="6"/>
    </row>
    <row r="29" customFormat="false" ht="15" hidden="false" customHeight="true" outlineLevel="0" collapsed="false">
      <c r="B29" s="6"/>
      <c r="K29" s="6"/>
    </row>
    <row r="30" customFormat="false" ht="21.75" hidden="false" customHeight="true" outlineLevel="0" collapsed="false">
      <c r="B30" s="304" t="s">
        <v>5934</v>
      </c>
      <c r="C30" s="304"/>
      <c r="D30" s="304"/>
      <c r="E30" s="304"/>
      <c r="F30" s="304"/>
      <c r="G30" s="304"/>
      <c r="H30" s="304"/>
      <c r="I30" s="304"/>
      <c r="J30" s="304"/>
      <c r="K30" s="304"/>
    </row>
    <row r="31" customFormat="false" ht="120" hidden="false" customHeight="true" outlineLevel="0" collapsed="false">
      <c r="B31" s="1385" t="s">
        <v>5935</v>
      </c>
      <c r="C31" s="1385"/>
      <c r="D31" s="1385"/>
      <c r="E31" s="1385"/>
      <c r="F31" s="1385"/>
      <c r="G31" s="1385"/>
      <c r="H31" s="1385"/>
      <c r="I31" s="1385"/>
      <c r="J31" s="1385"/>
      <c r="K31" s="1385"/>
    </row>
    <row r="32" customFormat="false" ht="15" hidden="false" customHeight="true" outlineLevel="0" collapsed="false">
      <c r="B32" s="1385"/>
      <c r="C32" s="1385"/>
      <c r="D32" s="1385"/>
      <c r="E32" s="1385"/>
      <c r="F32" s="1385"/>
      <c r="G32" s="1385"/>
      <c r="H32" s="1385"/>
      <c r="I32" s="1385"/>
      <c r="J32" s="1385"/>
      <c r="K32" s="1385"/>
    </row>
    <row r="33" customFormat="false" ht="15" hidden="false" customHeight="true" outlineLevel="0" collapsed="false">
      <c r="B33" s="1385"/>
      <c r="C33" s="1385"/>
      <c r="D33" s="1385"/>
      <c r="E33" s="1385"/>
      <c r="F33" s="1385"/>
      <c r="G33" s="1385"/>
      <c r="H33" s="1385"/>
      <c r="I33" s="1385"/>
      <c r="J33" s="1385"/>
      <c r="K33" s="1385"/>
    </row>
  </sheetData>
  <mergeCells count="9">
    <mergeCell ref="B2:G2"/>
    <mergeCell ref="H2:K2"/>
    <mergeCell ref="B3:K3"/>
    <mergeCell ref="B6:K6"/>
    <mergeCell ref="B9:K9"/>
    <mergeCell ref="B12:K12"/>
    <mergeCell ref="B19:K19"/>
    <mergeCell ref="B30:K30"/>
    <mergeCell ref="B31:K3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K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7384</v>
      </c>
      <c r="C2" s="88"/>
      <c r="D2" s="88"/>
      <c r="E2" s="88"/>
      <c r="F2" s="88"/>
      <c r="G2" s="88"/>
      <c r="H2" s="89" t="s">
        <v>995</v>
      </c>
      <c r="I2" s="89"/>
      <c r="J2" s="89"/>
      <c r="K2" s="89"/>
    </row>
    <row r="3" customFormat="false" ht="33.75" hidden="false" customHeight="true" outlineLevel="0" collapsed="false">
      <c r="B3" s="90" t="s">
        <v>5937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96" t="s">
        <v>4996</v>
      </c>
      <c r="C6" s="96"/>
      <c r="D6" s="96"/>
      <c r="E6" s="96"/>
      <c r="F6" s="96"/>
      <c r="G6" s="96"/>
      <c r="H6" s="96"/>
      <c r="I6" s="96"/>
      <c r="J6" s="96"/>
      <c r="K6" s="96"/>
    </row>
    <row r="7" customFormat="false" ht="15" hidden="false" customHeight="true" outlineLevel="0" collapsed="false">
      <c r="B7" s="81" t="s">
        <v>903</v>
      </c>
      <c r="C7" s="385" t="n">
        <f aca="false">'Subleasing · 8-Year'!C11</f>
        <v>256800</v>
      </c>
      <c r="D7" s="385" t="n">
        <f aca="false">'Subleasing · 8-Year'!D11</f>
        <v>297567</v>
      </c>
      <c r="E7" s="385" t="n">
        <f aca="false">'Subleasing · 8-Year'!E11</f>
        <v>340548.9</v>
      </c>
      <c r="F7" s="385" t="n">
        <f aca="false">'Subleasing · 8-Year'!F11</f>
        <v>350765.367</v>
      </c>
      <c r="G7" s="385" t="n">
        <f aca="false">'Subleasing · 8-Year'!G11</f>
        <v>361288.32801</v>
      </c>
      <c r="H7" s="385" t="n">
        <f aca="false">'Subleasing · 8-Year'!H11</f>
        <v>390733.326742815</v>
      </c>
      <c r="I7" s="385" t="n">
        <f aca="false">'Subleasing · 8-Year'!I11</f>
        <v>402455.3265451</v>
      </c>
      <c r="J7" s="385" t="n">
        <f aca="false">'Subleasing · 8-Year'!J11</f>
        <v>414528.986341453</v>
      </c>
      <c r="K7" s="1386" t="n">
        <f aca="false">SUM(C7:J7)</f>
        <v>2814687.23463937</v>
      </c>
    </row>
    <row r="8" customFormat="false" ht="15" hidden="false" customHeight="true" outlineLevel="0" collapsed="false">
      <c r="B8" s="81" t="s">
        <v>4112</v>
      </c>
      <c r="C8" s="1294" t="n">
        <f aca="false">'Subleasing · 8-Year'!C20</f>
        <v>230164</v>
      </c>
      <c r="D8" s="1294" t="n">
        <f aca="false">'Subleasing · 8-Year'!D20</f>
        <v>269470.66</v>
      </c>
      <c r="E8" s="1294" t="n">
        <f aca="false">'Subleasing · 8-Year'!E20</f>
        <v>310928.572</v>
      </c>
      <c r="F8" s="1294" t="n">
        <f aca="false">'Subleasing · 8-Year'!F20</f>
        <v>320256.42916</v>
      </c>
      <c r="G8" s="1294" t="n">
        <f aca="false">'Subleasing · 8-Year'!G20</f>
        <v>329864.1220348</v>
      </c>
      <c r="H8" s="1294" t="n">
        <f aca="false">'Subleasing · 8-Year'!H20</f>
        <v>357994.267610509</v>
      </c>
      <c r="I8" s="1294" t="n">
        <f aca="false">'Subleasing · 8-Year'!I20</f>
        <v>368734.095638824</v>
      </c>
      <c r="J8" s="1294" t="n">
        <f aca="false">'Subleasing · 8-Year'!J20</f>
        <v>379796.118507989</v>
      </c>
      <c r="K8" s="1387" t="n">
        <f aca="false">SUM(C8:J8)</f>
        <v>2567208.26495212</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388" t="n">
        <v>0</v>
      </c>
      <c r="K11" s="6"/>
    </row>
    <row r="12" customFormat="false" ht="15" hidden="false" customHeight="true" outlineLevel="0" collapsed="false">
      <c r="B12" s="113" t="s">
        <v>3766</v>
      </c>
      <c r="C12" s="1389" t="n">
        <v>5</v>
      </c>
      <c r="K12" s="6"/>
    </row>
    <row r="13" customFormat="false" ht="15" hidden="false" customHeight="true" outlineLevel="0" collapsed="false">
      <c r="B13" s="113" t="s">
        <v>3768</v>
      </c>
      <c r="C13" s="1389" t="n">
        <v>30</v>
      </c>
      <c r="K13" s="6"/>
    </row>
    <row r="14" customFormat="false" ht="15" hidden="false" customHeight="true" outlineLevel="0" collapsed="false">
      <c r="B14" s="6"/>
      <c r="K14" s="6"/>
    </row>
    <row r="15" customFormat="false" ht="15" hidden="false" customHeight="true" outlineLevel="0" collapsed="false">
      <c r="B15" s="1164" t="s">
        <v>4114</v>
      </c>
      <c r="C15" s="387" t="n">
        <f aca="false">C7*$C$11</f>
        <v>0</v>
      </c>
      <c r="D15" s="387" t="n">
        <f aca="false">D7*$C$11</f>
        <v>0</v>
      </c>
      <c r="E15" s="387" t="n">
        <f aca="false">E7*$C$11</f>
        <v>0</v>
      </c>
      <c r="F15" s="387" t="n">
        <f aca="false">F7*$C$11</f>
        <v>0</v>
      </c>
      <c r="G15" s="387" t="n">
        <f aca="false">G7*$C$11</f>
        <v>0</v>
      </c>
      <c r="H15" s="387" t="n">
        <f aca="false">H7*$C$11</f>
        <v>0</v>
      </c>
      <c r="I15" s="387" t="n">
        <f aca="false">I7*$C$11</f>
        <v>0</v>
      </c>
      <c r="J15" s="387" t="n">
        <f aca="false">J7*$C$11</f>
        <v>0</v>
      </c>
      <c r="K15" s="6"/>
    </row>
    <row r="16" customFormat="false" ht="15" hidden="false" customHeight="true" outlineLevel="0" collapsed="false">
      <c r="B16" s="1164" t="s">
        <v>4115</v>
      </c>
      <c r="C16" s="387" t="n">
        <f aca="false">C7/365*$C$12</f>
        <v>3517.80821917808</v>
      </c>
      <c r="D16" s="387" t="n">
        <f aca="false">D7/365*$C$12</f>
        <v>4076.2602739726</v>
      </c>
      <c r="E16" s="387" t="n">
        <f aca="false">E7/365*$C$12</f>
        <v>4665.05342465753</v>
      </c>
      <c r="F16" s="387" t="n">
        <f aca="false">F7/365*$C$12</f>
        <v>4805.00502739726</v>
      </c>
      <c r="G16" s="387" t="n">
        <f aca="false">G7/365*$C$12</f>
        <v>4949.15517821918</v>
      </c>
      <c r="H16" s="387" t="n">
        <f aca="false">H7/365*$C$12</f>
        <v>5352.51132524404</v>
      </c>
      <c r="I16" s="387" t="n">
        <f aca="false">I7/365*$C$12</f>
        <v>5513.08666500136</v>
      </c>
      <c r="J16" s="387" t="n">
        <f aca="false">J7/365*$C$12</f>
        <v>5678.4792649514</v>
      </c>
      <c r="K16" s="6"/>
    </row>
    <row r="17" customFormat="false" ht="15" hidden="false" customHeight="true" outlineLevel="0" collapsed="false">
      <c r="B17" s="1164" t="s">
        <v>4116</v>
      </c>
      <c r="C17" s="387" t="n">
        <f aca="false">C7*('Subleasing · Costs'!C16/'Subleasing · Revenue'!E30)/365*$C$13</f>
        <v>1835.83561643836</v>
      </c>
      <c r="D17" s="387" t="n">
        <f aca="false">D7*('Subleasing · Costs'!C16/'Subleasing · Revenue'!E30)/365*$C$13</f>
        <v>2127.27452054795</v>
      </c>
      <c r="E17" s="387" t="n">
        <f aca="false">E7*('Subleasing · Costs'!C16/'Subleasing · Revenue'!E30)/365*$C$13</f>
        <v>2434.54750684932</v>
      </c>
      <c r="F17" s="387" t="n">
        <f aca="false">F7*('Subleasing · Costs'!C16/'Subleasing · Revenue'!E30)/365*$C$13</f>
        <v>2507.5839320548</v>
      </c>
      <c r="G17" s="387" t="n">
        <f aca="false">G7*('Subleasing · Costs'!C16/'Subleasing · Revenue'!E30)/365*$C$13</f>
        <v>2582.81145001644</v>
      </c>
      <c r="H17" s="387" t="n">
        <f aca="false">H7*('Subleasing · Costs'!C16/'Subleasing · Revenue'!E30)/365*$C$13</f>
        <v>2793.31058319278</v>
      </c>
      <c r="I17" s="387" t="n">
        <f aca="false">I7*('Subleasing · Costs'!C16/'Subleasing · Revenue'!E30)/365*$C$13</f>
        <v>2877.10990068856</v>
      </c>
      <c r="J17" s="387" t="n">
        <f aca="false">J7*('Subleasing · Costs'!C16/'Subleasing · Revenue'!E30)/365*$C$13</f>
        <v>2963.42319770922</v>
      </c>
      <c r="K17" s="6"/>
    </row>
    <row r="18" customFormat="false" ht="15" hidden="false" customHeight="true" outlineLevel="0" collapsed="false">
      <c r="B18" s="113" t="s">
        <v>4117</v>
      </c>
      <c r="C18" s="385" t="n">
        <f aca="false">C15+C16-C17</f>
        <v>1681.97260273973</v>
      </c>
      <c r="D18" s="385" t="n">
        <f aca="false">D15+D16-D17</f>
        <v>1948.98575342466</v>
      </c>
      <c r="E18" s="385" t="n">
        <f aca="false">E15+E16-E17</f>
        <v>2230.50591780822</v>
      </c>
      <c r="F18" s="385" t="n">
        <f aca="false">F15+F16-F17</f>
        <v>2297.42109534247</v>
      </c>
      <c r="G18" s="385" t="n">
        <f aca="false">G15+G16-G17</f>
        <v>2366.34372820274</v>
      </c>
      <c r="H18" s="385" t="n">
        <f aca="false">H15+H16-H17</f>
        <v>2559.20074205126</v>
      </c>
      <c r="I18" s="385" t="n">
        <f aca="false">I15+I16-I17</f>
        <v>2635.9767643128</v>
      </c>
      <c r="J18" s="385" t="n">
        <f aca="false">J15+J16-J17</f>
        <v>2715.05606724219</v>
      </c>
      <c r="K18" s="6"/>
    </row>
    <row r="19" customFormat="false" ht="15" hidden="false" customHeight="true" outlineLevel="0" collapsed="false">
      <c r="B19" s="1267" t="s">
        <v>4118</v>
      </c>
      <c r="C19" s="1292" t="n">
        <f aca="false">C18</f>
        <v>1681.97260273973</v>
      </c>
      <c r="D19" s="1292" t="n">
        <f aca="false">D18-C18</f>
        <v>267.013150684931</v>
      </c>
      <c r="E19" s="1292" t="n">
        <f aca="false">E18-D18</f>
        <v>281.520164383561</v>
      </c>
      <c r="F19" s="1292" t="n">
        <f aca="false">F18-E18</f>
        <v>66.915177534248</v>
      </c>
      <c r="G19" s="1292" t="n">
        <f aca="false">G18-F18</f>
        <v>68.9226328602745</v>
      </c>
      <c r="H19" s="1292" t="n">
        <f aca="false">H18-G18</f>
        <v>192.857013848523</v>
      </c>
      <c r="I19" s="1292" t="n">
        <f aca="false">I18-H18</f>
        <v>76.776022261538</v>
      </c>
      <c r="J19" s="1292" t="n">
        <f aca="false">J18-I18</f>
        <v>79.0793029293841</v>
      </c>
      <c r="K19" s="6"/>
    </row>
    <row r="20" customFormat="false" ht="15" hidden="false" customHeight="true" outlineLevel="0" collapsed="false">
      <c r="B20" s="6"/>
      <c r="K20" s="6"/>
    </row>
    <row r="21" customFormat="false" ht="21.75" hidden="false" customHeight="true" outlineLevel="0" collapsed="false">
      <c r="B21" s="575" t="s">
        <v>5938</v>
      </c>
      <c r="C21" s="575"/>
      <c r="D21" s="575"/>
      <c r="E21" s="575"/>
      <c r="F21" s="575"/>
      <c r="G21" s="575"/>
      <c r="H21" s="575"/>
      <c r="I21" s="575"/>
      <c r="J21" s="575"/>
      <c r="K21" s="575"/>
    </row>
    <row r="22" customFormat="false" ht="15" hidden="false" customHeight="true" outlineLevel="0" collapsed="false">
      <c r="B22" s="126" t="s">
        <v>3771</v>
      </c>
      <c r="C22" s="1388" t="n">
        <v>0</v>
      </c>
      <c r="K22" s="6"/>
    </row>
    <row r="23" customFormat="false" ht="15" hidden="false" customHeight="true" outlineLevel="0" collapsed="false">
      <c r="B23" s="113" t="s">
        <v>4121</v>
      </c>
      <c r="C23" s="360" t="n">
        <f aca="false">C7*$C$22</f>
        <v>0</v>
      </c>
      <c r="D23" s="360" t="n">
        <f aca="false">D7*$C$22</f>
        <v>0</v>
      </c>
      <c r="E23" s="360" t="n">
        <f aca="false">E7*$C$22</f>
        <v>0</v>
      </c>
      <c r="F23" s="360" t="n">
        <f aca="false">F7*$C$22</f>
        <v>0</v>
      </c>
      <c r="G23" s="360" t="n">
        <f aca="false">G7*$C$22</f>
        <v>0</v>
      </c>
      <c r="H23" s="360" t="n">
        <f aca="false">H7*$C$22</f>
        <v>0</v>
      </c>
      <c r="I23" s="360" t="n">
        <f aca="false">I7*$C$22</f>
        <v>0</v>
      </c>
      <c r="J23" s="360" t="n">
        <f aca="false">J7*$C$22</f>
        <v>0</v>
      </c>
      <c r="K23" s="6"/>
    </row>
    <row r="24" customFormat="false" ht="15" hidden="false" customHeight="true" outlineLevel="0" collapsed="false">
      <c r="B24" s="6"/>
      <c r="K24" s="6"/>
    </row>
    <row r="25" customFormat="false" ht="33.75" hidden="false" customHeight="true" outlineLevel="0" collapsed="false">
      <c r="B25" s="104" t="s">
        <v>5939</v>
      </c>
      <c r="K25" s="6"/>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15" hidden="false" customHeight="true" outlineLevel="0" collapsed="false">
      <c r="B28" s="81" t="s">
        <v>4124</v>
      </c>
      <c r="C28" s="577" t="n">
        <f aca="false">C8-C19-C23</f>
        <v>228482.02739726</v>
      </c>
      <c r="D28" s="577" t="n">
        <f aca="false">D8-D19-D23</f>
        <v>269203.646849315</v>
      </c>
      <c r="E28" s="577" t="n">
        <f aca="false">E8-E19-E23</f>
        <v>310647.051835616</v>
      </c>
      <c r="F28" s="577" t="n">
        <f aca="false">F8-F19-F23</f>
        <v>320189.513982466</v>
      </c>
      <c r="G28" s="577" t="n">
        <f aca="false">G8-G19-G23</f>
        <v>329795.19940194</v>
      </c>
      <c r="H28" s="577" t="n">
        <f aca="false">H8-H19-H23</f>
        <v>357801.41059666</v>
      </c>
      <c r="I28" s="577" t="n">
        <f aca="false">I8-I19-I23</f>
        <v>368657.319616562</v>
      </c>
      <c r="J28" s="577" t="n">
        <f aca="false">J8-J19-J23</f>
        <v>379717.039205059</v>
      </c>
      <c r="K28" s="1383" t="n">
        <f aca="false">SUM(C28:J28)</f>
        <v>2564493.20888488</v>
      </c>
    </row>
    <row r="29" customFormat="false" ht="15" hidden="false" customHeight="true" outlineLevel="0" collapsed="false">
      <c r="B29" s="1382" t="s">
        <v>5940</v>
      </c>
      <c r="C29" s="593" t="n">
        <f aca="false">C28/C8</f>
        <v>0.992692286357816</v>
      </c>
      <c r="D29" s="593" t="n">
        <f aca="false">D28/D8</f>
        <v>0.999009119765822</v>
      </c>
      <c r="E29" s="593" t="n">
        <f aca="false">E28/E8</f>
        <v>0.999094582519153</v>
      </c>
      <c r="F29" s="593" t="n">
        <f aca="false">F28/F8</f>
        <v>0.99979105750442</v>
      </c>
      <c r="G29" s="593" t="n">
        <f aca="false">G28/G8</f>
        <v>0.99979105750442</v>
      </c>
      <c r="H29" s="593" t="n">
        <f aca="false">H28/H8</f>
        <v>0.999461284631355</v>
      </c>
      <c r="I29" s="593" t="n">
        <f aca="false">I28/I8</f>
        <v>0.999791784857518</v>
      </c>
      <c r="J29" s="593" t="n">
        <f aca="false">J28/J8</f>
        <v>0.999791784857518</v>
      </c>
      <c r="K29" s="6"/>
    </row>
    <row r="30" customFormat="false" ht="15" hidden="false" customHeight="true" outlineLevel="0" collapsed="false">
      <c r="B30" s="6"/>
      <c r="K30" s="6"/>
    </row>
    <row r="31" customFormat="false" ht="15" hidden="false" customHeight="true" outlineLevel="0" collapsed="false">
      <c r="B31" s="1164" t="s">
        <v>4126</v>
      </c>
      <c r="C31" s="387" t="n">
        <f aca="false">C28</f>
        <v>228482.02739726</v>
      </c>
      <c r="D31" s="387" t="n">
        <f aca="false">C31+D28</f>
        <v>497685.674246575</v>
      </c>
      <c r="E31" s="387" t="n">
        <f aca="false">D31+E28</f>
        <v>808332.726082192</v>
      </c>
      <c r="F31" s="387" t="n">
        <f aca="false">E31+F28</f>
        <v>1128522.24006466</v>
      </c>
      <c r="G31" s="387" t="n">
        <f aca="false">F31+G28</f>
        <v>1458317.4394666</v>
      </c>
      <c r="H31" s="387" t="n">
        <f aca="false">G31+H28</f>
        <v>1816118.85006326</v>
      </c>
      <c r="I31" s="387" t="n">
        <f aca="false">H31+I28</f>
        <v>2184776.16967982</v>
      </c>
      <c r="J31" s="387" t="n">
        <f aca="false">I31+J28</f>
        <v>2564493.20888488</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21.75" hidden="false" customHeight="true" outlineLevel="0" collapsed="false">
      <c r="B35" s="97" t="s">
        <v>206</v>
      </c>
      <c r="C35" s="98" t="s">
        <v>393</v>
      </c>
      <c r="D35" s="98" t="s">
        <v>225</v>
      </c>
      <c r="K35" s="6"/>
    </row>
    <row r="36" customFormat="false" ht="15" hidden="false" customHeight="true" outlineLevel="0" collapsed="false">
      <c r="B36" s="113" t="s">
        <v>4128</v>
      </c>
      <c r="C36" s="544" t="n">
        <f aca="false">C28</f>
        <v>228482.02739726</v>
      </c>
      <c r="D36" s="634" t="s">
        <v>4129</v>
      </c>
      <c r="K36" s="6"/>
    </row>
    <row r="37" customFormat="false" ht="15" hidden="false" customHeight="true" outlineLevel="0" collapsed="false">
      <c r="B37" s="113" t="s">
        <v>4130</v>
      </c>
      <c r="C37" s="544" t="n">
        <f aca="false">F28</f>
        <v>320189.513982466</v>
      </c>
      <c r="D37" s="634" t="s">
        <v>4131</v>
      </c>
      <c r="K37" s="6"/>
    </row>
    <row r="38" customFormat="false" ht="15" hidden="false" customHeight="true" outlineLevel="0" collapsed="false">
      <c r="B38" s="113" t="s">
        <v>4132</v>
      </c>
      <c r="C38" s="544" t="n">
        <f aca="false">K28</f>
        <v>2564493.20888488</v>
      </c>
      <c r="D38" s="634" t="s">
        <v>4133</v>
      </c>
      <c r="K38" s="6"/>
    </row>
    <row r="39" customFormat="false" ht="15" hidden="false" customHeight="true" outlineLevel="0" collapsed="false">
      <c r="B39" s="113" t="s">
        <v>4134</v>
      </c>
      <c r="C39" s="1288" t="n">
        <f aca="false">K28/K8</f>
        <v>0.998942409112534</v>
      </c>
      <c r="D39" s="634" t="s">
        <v>5941</v>
      </c>
      <c r="K39" s="6"/>
    </row>
  </sheetData>
  <mergeCells count="8">
    <mergeCell ref="B2:G2"/>
    <mergeCell ref="H2:K2"/>
    <mergeCell ref="B3:K3"/>
    <mergeCell ref="B6:K6"/>
    <mergeCell ref="B10:K10"/>
    <mergeCell ref="B21:K21"/>
    <mergeCell ref="B27:K27"/>
    <mergeCell ref="B34:K3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5"/>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7385</v>
      </c>
      <c r="C2" s="878"/>
      <c r="D2" s="878"/>
      <c r="E2" s="878"/>
      <c r="F2" s="878"/>
      <c r="G2" s="89" t="s">
        <v>3432</v>
      </c>
      <c r="H2" s="89"/>
      <c r="I2" s="89"/>
      <c r="J2" s="89"/>
    </row>
    <row r="3" customFormat="false" ht="18" hidden="false" customHeight="true" outlineLevel="0" collapsed="false">
      <c r="B3" s="90" t="s">
        <v>7386</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96" t="s">
        <v>7387</v>
      </c>
      <c r="C5" s="96"/>
      <c r="D5" s="96"/>
      <c r="E5" s="96"/>
      <c r="F5" s="96"/>
      <c r="G5" s="96"/>
      <c r="H5" s="96"/>
    </row>
    <row r="6" customFormat="false" ht="18" hidden="false" customHeight="true" outlineLevel="0" collapsed="false">
      <c r="B6" s="113" t="s">
        <v>7388</v>
      </c>
      <c r="C6" s="1301" t="n">
        <v>500</v>
      </c>
      <c r="D6" s="565" t="s">
        <v>7389</v>
      </c>
      <c r="E6" s="6"/>
    </row>
    <row r="7" customFormat="false" ht="18" hidden="false" customHeight="true" outlineLevel="0" collapsed="false">
      <c r="B7" s="81" t="s">
        <v>7390</v>
      </c>
      <c r="C7" s="1439" t="n">
        <f aca="false">'Subleasing · Revenue'!E30/C6</f>
        <v>642</v>
      </c>
      <c r="D7" s="565" t="s">
        <v>7391</v>
      </c>
      <c r="E7" s="6"/>
    </row>
    <row r="8" customFormat="false" ht="18" hidden="false" customHeight="true" outlineLevel="0" collapsed="false">
      <c r="B8" s="113" t="s">
        <v>7392</v>
      </c>
      <c r="C8" s="1438" t="n">
        <f aca="false">'Subleasing · Costs'!C16/C6</f>
        <v>55.84</v>
      </c>
      <c r="D8" s="565" t="s">
        <v>7393</v>
      </c>
      <c r="E8" s="6"/>
    </row>
    <row r="9" customFormat="false" ht="18" hidden="false" customHeight="true" outlineLevel="0" collapsed="false">
      <c r="B9" s="81" t="s">
        <v>7394</v>
      </c>
      <c r="C9" s="1439" t="n">
        <f aca="false">'Subleasing · Costs'!C29/C6</f>
        <v>586.16</v>
      </c>
      <c r="D9" s="565" t="s">
        <v>7395</v>
      </c>
      <c r="E9" s="6"/>
    </row>
    <row r="10" customFormat="false" ht="15" hidden="false" customHeight="true" outlineLevel="0" collapsed="false">
      <c r="B10" s="6"/>
      <c r="E10" s="6"/>
    </row>
    <row r="11" customFormat="false" ht="21.75" hidden="false" customHeight="true" outlineLevel="0" collapsed="false">
      <c r="B11" s="575" t="s">
        <v>7396</v>
      </c>
      <c r="C11" s="575"/>
      <c r="D11" s="575"/>
      <c r="E11" s="575"/>
      <c r="F11" s="575"/>
      <c r="G11" s="575"/>
      <c r="H11" s="575"/>
    </row>
    <row r="12" customFormat="false" ht="18" hidden="false" customHeight="true" outlineLevel="0" collapsed="false">
      <c r="B12" s="113" t="s">
        <v>7290</v>
      </c>
      <c r="C12" s="1438" t="n">
        <f aca="false">'Subleasing · Revenue'!E8</f>
        <v>250000</v>
      </c>
      <c r="D12" s="565" t="s">
        <v>7397</v>
      </c>
      <c r="E12" s="6"/>
    </row>
    <row r="13" customFormat="false" ht="18" hidden="false" customHeight="true" outlineLevel="0" collapsed="false">
      <c r="B13" s="126" t="s">
        <v>7398</v>
      </c>
      <c r="C13" s="1438" t="n">
        <f aca="false">'Subleasing · Drivers'!C12</f>
        <v>212500</v>
      </c>
      <c r="D13" s="565" t="s">
        <v>7399</v>
      </c>
      <c r="E13" s="6"/>
    </row>
    <row r="14" customFormat="false" ht="18" hidden="false" customHeight="true" outlineLevel="0" collapsed="false">
      <c r="B14" s="126" t="s">
        <v>7400</v>
      </c>
      <c r="C14" s="1438" t="n">
        <f aca="false">'Subleasing · Revenue'!E13</f>
        <v>71000</v>
      </c>
      <c r="D14" s="565" t="s">
        <v>7401</v>
      </c>
      <c r="E14" s="6"/>
    </row>
    <row r="15" customFormat="false" ht="18" hidden="false" customHeight="true" outlineLevel="0" collapsed="false">
      <c r="B15" s="113" t="s">
        <v>7402</v>
      </c>
      <c r="C15" s="1438" t="n">
        <f aca="false">'Subleasing · Drivers'!C18</f>
        <v>134.444444444444</v>
      </c>
      <c r="D15" s="565" t="s">
        <v>7403</v>
      </c>
      <c r="E15" s="6"/>
    </row>
    <row r="16" customFormat="false" ht="18" hidden="false" customHeight="true" outlineLevel="0" collapsed="false">
      <c r="B16" s="126" t="s">
        <v>7404</v>
      </c>
      <c r="C16" s="1438" t="n">
        <f aca="false">'Subleasing · Drivers'!C18-'Subleasing · Drivers'!C9</f>
        <v>23.3333333333333</v>
      </c>
      <c r="D16" s="565" t="s">
        <v>7405</v>
      </c>
      <c r="E16" s="6"/>
    </row>
    <row r="17" customFormat="false" ht="15" hidden="false" customHeight="true" outlineLevel="0" collapsed="false">
      <c r="B17" s="6"/>
      <c r="E17" s="6"/>
    </row>
    <row r="18" customFormat="false" ht="21.75" hidden="false" customHeight="true" outlineLevel="0" collapsed="false">
      <c r="B18" s="575" t="s">
        <v>5037</v>
      </c>
      <c r="C18" s="575"/>
      <c r="D18" s="575"/>
      <c r="E18" s="575"/>
      <c r="F18" s="575"/>
      <c r="G18" s="575"/>
      <c r="H18" s="575"/>
    </row>
    <row r="19" customFormat="false" ht="18" hidden="false" customHeight="true" outlineLevel="0" collapsed="false">
      <c r="B19" s="81" t="s">
        <v>5038</v>
      </c>
      <c r="C19" s="1390" t="n">
        <f aca="false">'Subleasing · Revenue'!E30</f>
        <v>321000</v>
      </c>
      <c r="D19" s="565" t="s">
        <v>7173</v>
      </c>
      <c r="E19" s="6"/>
    </row>
    <row r="20" customFormat="false" ht="18" hidden="false" customHeight="true" outlineLevel="0" collapsed="false">
      <c r="B20" s="113" t="s">
        <v>4973</v>
      </c>
      <c r="C20" s="406" t="n">
        <f aca="false">'Subleasing · Costs'!C16</f>
        <v>27920</v>
      </c>
      <c r="D20" s="565" t="s">
        <v>7406</v>
      </c>
      <c r="E20" s="6"/>
    </row>
    <row r="21" customFormat="false" ht="18" hidden="false" customHeight="true" outlineLevel="0" collapsed="false">
      <c r="B21" s="81" t="s">
        <v>7380</v>
      </c>
      <c r="C21" s="1390" t="n">
        <f aca="false">'Subleasing · Costs'!C29</f>
        <v>293080</v>
      </c>
      <c r="D21" s="565" t="s">
        <v>7175</v>
      </c>
      <c r="E21" s="6"/>
    </row>
    <row r="22" customFormat="false" ht="18" hidden="false" customHeight="true" outlineLevel="0" collapsed="false">
      <c r="B22" s="81" t="s">
        <v>4991</v>
      </c>
      <c r="C22" s="1393" t="n">
        <f aca="false">C21/C19</f>
        <v>0.913021806853583</v>
      </c>
      <c r="D22" s="565" t="s">
        <v>7407</v>
      </c>
      <c r="E22" s="6"/>
    </row>
  </sheetData>
  <mergeCells count="6">
    <mergeCell ref="B2:F2"/>
    <mergeCell ref="G2:J2"/>
    <mergeCell ref="B3:J3"/>
    <mergeCell ref="B5:H5"/>
    <mergeCell ref="B11:H11"/>
    <mergeCell ref="B18:H18"/>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7408</v>
      </c>
      <c r="C3" s="90"/>
      <c r="D3" s="90"/>
      <c r="E3" s="90"/>
      <c r="F3" s="90"/>
      <c r="G3" s="90"/>
      <c r="H3" s="90"/>
      <c r="I3" s="90"/>
      <c r="J3" s="90"/>
    </row>
    <row r="4" customFormat="false" ht="15" hidden="false" customHeight="true" outlineLevel="0" collapsed="false">
      <c r="B4" s="6"/>
      <c r="E4" s="6"/>
    </row>
    <row r="5" customFormat="false" ht="33.75" hidden="false" customHeight="true" outlineLevel="0" collapsed="false">
      <c r="B5" s="96" t="s">
        <v>5050</v>
      </c>
      <c r="C5" s="96"/>
      <c r="D5" s="96"/>
      <c r="E5" s="96"/>
      <c r="F5" s="96"/>
      <c r="G5" s="96"/>
      <c r="H5" s="96"/>
    </row>
    <row r="6" customFormat="false" ht="15" hidden="false" customHeight="true" outlineLevel="0" collapsed="false">
      <c r="B6" s="6"/>
      <c r="E6" s="6"/>
    </row>
    <row r="7" customFormat="false" ht="18" hidden="false" customHeight="true" outlineLevel="0" collapsed="false">
      <c r="B7" s="113" t="s">
        <v>4971</v>
      </c>
      <c r="C7" s="1299" t="n">
        <f aca="false">'Subleasing · Costs'!C19</f>
        <v>21500</v>
      </c>
      <c r="D7" s="565" t="s">
        <v>7178</v>
      </c>
      <c r="E7" s="6"/>
    </row>
    <row r="8" customFormat="false" ht="18" hidden="false" customHeight="true" outlineLevel="0" collapsed="false">
      <c r="B8" s="113" t="s">
        <v>5052</v>
      </c>
      <c r="C8" s="1300" t="n">
        <f aca="false">'Subleasing · Costs'!C22</f>
        <v>0.02</v>
      </c>
      <c r="D8" s="565" t="s">
        <v>7179</v>
      </c>
      <c r="E8" s="6"/>
    </row>
    <row r="9" customFormat="false" ht="18" hidden="false" customHeight="true" outlineLevel="0" collapsed="false">
      <c r="B9" s="113" t="s">
        <v>5054</v>
      </c>
      <c r="C9" s="1300" t="n">
        <f aca="false">1-C8</f>
        <v>0.98</v>
      </c>
      <c r="D9" s="565" t="s">
        <v>5055</v>
      </c>
      <c r="E9" s="6"/>
    </row>
    <row r="10" customFormat="false" ht="15" hidden="false" customHeight="true" outlineLevel="0" collapsed="false">
      <c r="B10" s="6"/>
      <c r="E10" s="6"/>
    </row>
    <row r="11" customFormat="false" ht="18" hidden="false" customHeight="true" outlineLevel="0" collapsed="false">
      <c r="B11" s="81" t="s">
        <v>5056</v>
      </c>
      <c r="C11" s="406" t="n">
        <f aca="false">C7/C9</f>
        <v>21938.7755102041</v>
      </c>
      <c r="D11" s="565" t="s">
        <v>5057</v>
      </c>
      <c r="E11" s="6"/>
    </row>
    <row r="12" customFormat="false" ht="18" hidden="false" customHeight="true" outlineLevel="0" collapsed="false">
      <c r="B12" s="113" t="s">
        <v>5058</v>
      </c>
      <c r="C12" s="1299" t="n">
        <f aca="false">'Subleasing · Revenue'!E30</f>
        <v>321000</v>
      </c>
      <c r="D12" s="565" t="s">
        <v>6657</v>
      </c>
      <c r="E12" s="6"/>
    </row>
    <row r="13" customFormat="false" ht="18" hidden="false" customHeight="true" outlineLevel="0" collapsed="false">
      <c r="B13" s="113" t="s">
        <v>5060</v>
      </c>
      <c r="C13" s="1300" t="n">
        <f aca="false">C12/C11-1</f>
        <v>13.6316279069767</v>
      </c>
      <c r="D13" s="565" t="s">
        <v>6675</v>
      </c>
      <c r="E13" s="6"/>
    </row>
    <row r="14" customFormat="false" ht="15" hidden="false" customHeight="true" outlineLevel="0" collapsed="false">
      <c r="B14" s="6"/>
      <c r="E14" s="6"/>
    </row>
    <row r="15" customFormat="false" ht="21.75" hidden="false" customHeight="true" outlineLevel="0" collapsed="false">
      <c r="B15" s="575" t="s">
        <v>7409</v>
      </c>
      <c r="C15" s="575"/>
      <c r="D15" s="575"/>
      <c r="E15" s="575"/>
      <c r="F15" s="575"/>
      <c r="G15" s="575"/>
      <c r="H15" s="575"/>
    </row>
    <row r="16" customFormat="false" ht="33.75" hidden="false" customHeight="true" outlineLevel="0" collapsed="false">
      <c r="B16" s="126" t="s">
        <v>7410</v>
      </c>
      <c r="C16" s="1299" t="n">
        <f aca="false">('Subleasing · Revenue'!E8+'Subleasing · Revenue'!E13)/2</f>
        <v>160500</v>
      </c>
      <c r="D16" s="565" t="s">
        <v>7411</v>
      </c>
      <c r="E16" s="6"/>
    </row>
    <row r="17" customFormat="false" ht="18" hidden="false" customHeight="true" outlineLevel="0" collapsed="false">
      <c r="B17" s="1076" t="s">
        <v>7412</v>
      </c>
      <c r="C17" s="1449" t="n">
        <v>2</v>
      </c>
      <c r="D17" s="565" t="s">
        <v>7413</v>
      </c>
      <c r="E17" s="6"/>
    </row>
    <row r="18" customFormat="false" ht="18" hidden="false" customHeight="true" outlineLevel="0" collapsed="false">
      <c r="B18" s="1076" t="s">
        <v>7414</v>
      </c>
      <c r="C18" s="1449" t="str">
        <f aca="false">IF((C16)&gt;C11,"✓ Either stream alone covers breakeven","⚠ Both streams needed for breakeven")</f>
        <v>✓ Either stream alone covers breakeven</v>
      </c>
      <c r="D18" s="565" t="s">
        <v>7415</v>
      </c>
      <c r="E18" s="6"/>
    </row>
    <row r="19" customFormat="false" ht="15" hidden="false" customHeight="true" outlineLevel="0" collapsed="false">
      <c r="B19" s="6"/>
      <c r="E19" s="6"/>
    </row>
    <row r="20" customFormat="false" ht="48.75" hidden="false" customHeight="true" outlineLevel="0" collapsed="false">
      <c r="B20" s="1456" t="s">
        <v>7416</v>
      </c>
      <c r="C20" s="1456"/>
      <c r="D20" s="1456"/>
      <c r="E20" s="6"/>
    </row>
  </sheetData>
  <mergeCells count="6">
    <mergeCell ref="B2:F2"/>
    <mergeCell ref="G2:J2"/>
    <mergeCell ref="B3:J3"/>
    <mergeCell ref="B5:H5"/>
    <mergeCell ref="B15:H15"/>
    <mergeCell ref="B20:D2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20"/>
    <col collapsed="false" customWidth="true" hidden="false" outlineLevel="0" max="11" min="8" style="0" width="12"/>
  </cols>
  <sheetData>
    <row r="1" customFormat="false" ht="3.75" hidden="false" customHeight="true" outlineLevel="0" collapsed="false">
      <c r="B1" s="1"/>
      <c r="C1" s="2"/>
      <c r="D1" s="2"/>
      <c r="E1" s="2"/>
      <c r="F1" s="1"/>
      <c r="G1" s="2"/>
    </row>
    <row r="2" customFormat="false" ht="27.75" hidden="false" customHeight="true" outlineLevel="0" collapsed="false">
      <c r="B2" s="88" t="s">
        <v>7417</v>
      </c>
      <c r="C2" s="88"/>
      <c r="D2" s="88"/>
      <c r="E2" s="88"/>
      <c r="F2" s="1023" t="s">
        <v>995</v>
      </c>
      <c r="G2" s="1023"/>
    </row>
    <row r="3" customFormat="false" ht="33.75" hidden="false" customHeight="true" outlineLevel="0" collapsed="false">
      <c r="B3" s="90" t="s">
        <v>5994</v>
      </c>
      <c r="C3" s="90"/>
      <c r="D3" s="90"/>
      <c r="E3" s="90"/>
      <c r="F3" s="90"/>
      <c r="G3" s="90"/>
    </row>
    <row r="4" customFormat="false" ht="15" hidden="false" customHeight="true" outlineLevel="0" collapsed="false">
      <c r="B4" s="6"/>
      <c r="F4" s="6"/>
    </row>
    <row r="5" customFormat="false" ht="21.75" hidden="false" customHeight="true" outlineLevel="0" collapsed="false">
      <c r="B5" s="96" t="s">
        <v>5995</v>
      </c>
      <c r="C5" s="96"/>
      <c r="D5" s="96"/>
      <c r="E5" s="96"/>
      <c r="F5" s="96"/>
      <c r="G5" s="96"/>
    </row>
    <row r="6" customFormat="false" ht="21.75" hidden="false" customHeight="true" outlineLevel="0" collapsed="false">
      <c r="B6" s="97" t="s">
        <v>3445</v>
      </c>
      <c r="C6" s="98" t="s">
        <v>5996</v>
      </c>
      <c r="D6" s="98" t="s">
        <v>5073</v>
      </c>
      <c r="E6" s="98" t="s">
        <v>4241</v>
      </c>
      <c r="F6" s="99" t="s">
        <v>4242</v>
      </c>
      <c r="G6" s="98" t="s">
        <v>778</v>
      </c>
    </row>
    <row r="7" customFormat="false" ht="15" hidden="false" customHeight="true" outlineLevel="0" collapsed="false">
      <c r="B7" s="113" t="s">
        <v>7418</v>
      </c>
      <c r="C7" s="567" t="n">
        <f aca="false">1</f>
        <v>1</v>
      </c>
      <c r="D7" s="480" t="n">
        <f aca="false">1</f>
        <v>1</v>
      </c>
      <c r="E7" s="740" t="n">
        <f aca="false">IFERROR(D7/C7,0)</f>
        <v>1</v>
      </c>
      <c r="F7" s="1395" t="n">
        <f aca="false">IFERROR(1-E7,0)</f>
        <v>0</v>
      </c>
      <c r="G7" s="634" t="s">
        <v>7419</v>
      </c>
    </row>
    <row r="8" customFormat="false" ht="15" hidden="false" customHeight="true" outlineLevel="0" collapsed="false">
      <c r="B8" s="113" t="s">
        <v>7420</v>
      </c>
      <c r="C8" s="567" t="n">
        <f aca="false">1</f>
        <v>1</v>
      </c>
      <c r="D8" s="480" t="n">
        <f aca="false">1</f>
        <v>1</v>
      </c>
      <c r="E8" s="740" t="n">
        <f aca="false">IFERROR(D8/C8,0)</f>
        <v>1</v>
      </c>
      <c r="F8" s="1395" t="n">
        <f aca="false">IFERROR(1-E8,0)</f>
        <v>0</v>
      </c>
      <c r="G8" s="634" t="s">
        <v>7421</v>
      </c>
    </row>
    <row r="9" customFormat="false" ht="15" hidden="false" customHeight="true" outlineLevel="0" collapsed="false">
      <c r="B9" s="113" t="s">
        <v>7422</v>
      </c>
      <c r="C9" s="567" t="n">
        <f aca="false">3</f>
        <v>3</v>
      </c>
      <c r="D9" s="480" t="n">
        <f aca="false">3</f>
        <v>3</v>
      </c>
      <c r="E9" s="740" t="n">
        <f aca="false">IFERROR(D9/C9,0)</f>
        <v>1</v>
      </c>
      <c r="F9" s="1395" t="n">
        <f aca="false">IFERROR(1-E9,0)</f>
        <v>0</v>
      </c>
      <c r="G9" s="634" t="s">
        <v>7423</v>
      </c>
    </row>
    <row r="10" customFormat="false" ht="15" hidden="false" customHeight="true" outlineLevel="0" collapsed="false">
      <c r="B10" s="113" t="s">
        <v>7424</v>
      </c>
      <c r="C10" s="567" t="n">
        <f aca="false">0</f>
        <v>0</v>
      </c>
      <c r="D10" s="480" t="n">
        <f aca="false">0</f>
        <v>0</v>
      </c>
      <c r="E10" s="740" t="n">
        <f aca="false">IFERROR(D10/C10,0)</f>
        <v>0</v>
      </c>
      <c r="F10" s="1395" t="n">
        <f aca="false">IFERROR(1-E10,0)</f>
        <v>1</v>
      </c>
      <c r="G10" s="634" t="s">
        <v>7425</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1.75" hidden="false" customHeight="true" outlineLevel="0" collapsed="false">
      <c r="B13" s="97" t="s">
        <v>738</v>
      </c>
      <c r="C13" s="98" t="s">
        <v>4247</v>
      </c>
      <c r="D13" s="98" t="s">
        <v>3446</v>
      </c>
      <c r="E13" s="98" t="s">
        <v>4249</v>
      </c>
      <c r="F13" s="99" t="s">
        <v>778</v>
      </c>
    </row>
    <row r="14" customFormat="false" ht="15" hidden="false" customHeight="true" outlineLevel="0" collapsed="false">
      <c r="B14" s="113" t="s">
        <v>4250</v>
      </c>
      <c r="C14" s="1396" t="n">
        <v>1</v>
      </c>
      <c r="D14" s="606" t="n">
        <f aca="false">'Subleasing · Revenue'!E30</f>
        <v>321000</v>
      </c>
      <c r="E14" s="706" t="s">
        <v>672</v>
      </c>
      <c r="F14" s="592" t="s">
        <v>4251</v>
      </c>
    </row>
    <row r="15" customFormat="false" ht="15" hidden="false" customHeight="true" outlineLevel="0" collapsed="false">
      <c r="B15" s="113" t="s">
        <v>6005</v>
      </c>
      <c r="C15" s="1396" t="n">
        <v>1.25</v>
      </c>
      <c r="D15" s="648" t="n">
        <f aca="false">'Subleasing · Revenue'!E30*1.25</f>
        <v>401250</v>
      </c>
      <c r="E15" s="1397" t="n">
        <f aca="false">D15/D14-1</f>
        <v>0.25</v>
      </c>
      <c r="F15" s="592" t="s">
        <v>6006</v>
      </c>
    </row>
    <row r="16" customFormat="false" ht="15" hidden="false" customHeight="true" outlineLevel="0" collapsed="false">
      <c r="B16" s="113" t="s">
        <v>6007</v>
      </c>
      <c r="C16" s="1396" t="n">
        <v>1.5</v>
      </c>
      <c r="D16" s="648" t="n">
        <f aca="false">'Subleasing · Revenue'!E30*1.5</f>
        <v>481500</v>
      </c>
      <c r="E16" s="1397" t="n">
        <f aca="false">D16/D14-1</f>
        <v>0.5</v>
      </c>
      <c r="F16" s="592" t="s">
        <v>6008</v>
      </c>
    </row>
    <row r="17" customFormat="false" ht="15" hidden="false" customHeight="true" outlineLevel="0" collapsed="false">
      <c r="B17" s="113" t="s">
        <v>6009</v>
      </c>
      <c r="C17" s="1396" t="n">
        <v>2</v>
      </c>
      <c r="D17" s="648" t="n">
        <f aca="false">'Subleasing · Revenue'!E30*2</f>
        <v>642000</v>
      </c>
      <c r="E17" s="1397" t="n">
        <f aca="false">D17/D14-1</f>
        <v>1</v>
      </c>
      <c r="F17" s="592" t="s">
        <v>6010</v>
      </c>
    </row>
    <row r="18" customFormat="false" ht="15" hidden="false" customHeight="true" outlineLevel="0" collapsed="false">
      <c r="B18" s="6"/>
      <c r="F18" s="6"/>
    </row>
    <row r="19" customFormat="false" ht="21.75" hidden="false" customHeight="true" outlineLevel="0" collapsed="false">
      <c r="B19" s="72" t="s">
        <v>6011</v>
      </c>
      <c r="C19" s="72"/>
      <c r="D19" s="72"/>
      <c r="E19" s="72"/>
      <c r="F19" s="72"/>
      <c r="G19" s="72"/>
    </row>
    <row r="20" customFormat="false" ht="120" hidden="false" customHeight="true" outlineLevel="0" collapsed="false">
      <c r="B20" s="1398" t="s">
        <v>7426</v>
      </c>
      <c r="C20" s="1398"/>
      <c r="D20" s="1398"/>
      <c r="E20" s="1398"/>
      <c r="F20" s="1398"/>
      <c r="G20" s="1398"/>
    </row>
    <row r="21" customFormat="false" ht="15" hidden="false" customHeight="true" outlineLevel="0" collapsed="false">
      <c r="B21" s="1398"/>
      <c r="C21" s="1398"/>
      <c r="D21" s="1398"/>
      <c r="E21" s="1398"/>
      <c r="F21" s="1398"/>
      <c r="G21" s="1398"/>
    </row>
    <row r="22" customFormat="false" ht="15" hidden="false" customHeight="true" outlineLevel="0" collapsed="false">
      <c r="B22" s="1398"/>
      <c r="C22" s="1398"/>
      <c r="D22" s="1398"/>
      <c r="E22" s="1398"/>
      <c r="F22" s="1398"/>
      <c r="G22" s="1398"/>
    </row>
    <row r="23" customFormat="false" ht="15" hidden="false" customHeight="true" outlineLevel="0" collapsed="false">
      <c r="B23" s="1398"/>
      <c r="C23" s="1398"/>
      <c r="D23" s="1398"/>
      <c r="E23" s="1398"/>
      <c r="F23" s="1398"/>
      <c r="G23" s="1398"/>
    </row>
    <row r="24" customFormat="false" ht="15" hidden="false" customHeight="true" outlineLevel="0" collapsed="false">
      <c r="B24" s="1398"/>
      <c r="C24" s="1398"/>
      <c r="D24" s="1398"/>
      <c r="E24" s="1398"/>
      <c r="F24" s="1398"/>
      <c r="G24" s="1398"/>
    </row>
  </sheetData>
  <mergeCells count="7">
    <mergeCell ref="B2:E2"/>
    <mergeCell ref="F2:G2"/>
    <mergeCell ref="B3:G3"/>
    <mergeCell ref="B5:G5"/>
    <mergeCell ref="B12:G12"/>
    <mergeCell ref="B19:G19"/>
    <mergeCell ref="B20:G2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8"/>
    <col collapsed="false" customWidth="true" hidden="false" outlineLevel="0" max="8" min="8" style="0" width="9"/>
    <col collapsed="false" customWidth="true" hidden="false" outlineLevel="0" max="9" min="9" style="0" width="20"/>
    <col collapsed="false" customWidth="true" hidden="false" outlineLevel="0" max="11" min="10" style="0" width="12"/>
  </cols>
  <sheetData>
    <row r="1" customFormat="false" ht="3.75" hidden="false" customHeight="true" outlineLevel="0" collapsed="false">
      <c r="B1" s="1"/>
      <c r="C1" s="2"/>
      <c r="D1" s="2"/>
      <c r="E1" s="2"/>
      <c r="F1" s="1"/>
      <c r="G1" s="2"/>
      <c r="H1" s="2"/>
      <c r="I1" s="2"/>
    </row>
    <row r="2" customFormat="false" ht="27.75" hidden="false" customHeight="true" outlineLevel="0" collapsed="false">
      <c r="B2" s="88" t="s">
        <v>7427</v>
      </c>
      <c r="C2" s="88"/>
      <c r="D2" s="88"/>
      <c r="E2" s="88"/>
      <c r="F2" s="1023" t="s">
        <v>995</v>
      </c>
      <c r="G2" s="1023"/>
      <c r="H2" s="1023"/>
      <c r="I2" s="1023"/>
    </row>
    <row r="3" customFormat="false" ht="33.75" hidden="false" customHeight="true" outlineLevel="0" collapsed="false">
      <c r="B3" s="90" t="s">
        <v>7199</v>
      </c>
      <c r="C3" s="90"/>
      <c r="D3" s="90"/>
      <c r="E3" s="90"/>
      <c r="F3" s="90"/>
      <c r="G3" s="90"/>
      <c r="H3" s="90"/>
      <c r="I3" s="90"/>
    </row>
    <row r="4" customFormat="false" ht="15" hidden="false" customHeight="true" outlineLevel="0" collapsed="false">
      <c r="B4" s="6"/>
      <c r="F4" s="6"/>
    </row>
    <row r="5" customFormat="false" ht="21.75" hidden="false" customHeight="true" outlineLevel="0" collapsed="false">
      <c r="B5" s="96" t="s">
        <v>5096</v>
      </c>
      <c r="C5" s="96"/>
      <c r="D5" s="96"/>
      <c r="E5" s="96"/>
      <c r="F5" s="96"/>
      <c r="G5" s="96"/>
      <c r="I5" s="958" t="s">
        <v>4262</v>
      </c>
    </row>
    <row r="6" customFormat="false" ht="21.75" hidden="false" customHeight="true" outlineLevel="0" collapsed="false">
      <c r="B6" s="97" t="s">
        <v>3507</v>
      </c>
      <c r="C6" s="98" t="s">
        <v>4263</v>
      </c>
      <c r="D6" s="98" t="s">
        <v>4264</v>
      </c>
      <c r="E6" s="98" t="s">
        <v>2930</v>
      </c>
      <c r="F6" s="99" t="s">
        <v>4265</v>
      </c>
      <c r="G6" s="98" t="s">
        <v>4266</v>
      </c>
    </row>
    <row r="7" customFormat="false" ht="15" hidden="false" customHeight="true" outlineLevel="0" collapsed="false">
      <c r="B7" s="113" t="s">
        <v>7428</v>
      </c>
      <c r="C7" s="1314" t="n">
        <f aca="false">1</f>
        <v>1</v>
      </c>
      <c r="D7" s="1450" t="s">
        <v>4292</v>
      </c>
      <c r="E7" s="1451" t="s">
        <v>4287</v>
      </c>
      <c r="F7" s="1289" t="s">
        <v>4298</v>
      </c>
      <c r="G7" s="565" t="s">
        <v>7429</v>
      </c>
    </row>
    <row r="8" customFormat="false" ht="15" hidden="false" customHeight="true" outlineLevel="0" collapsed="false">
      <c r="B8" s="113" t="s">
        <v>7430</v>
      </c>
      <c r="C8" s="1314" t="n">
        <f aca="false">0.98</f>
        <v>0.98</v>
      </c>
      <c r="D8" s="1450" t="s">
        <v>7431</v>
      </c>
      <c r="E8" s="1451" t="s">
        <v>4287</v>
      </c>
      <c r="F8" s="1289" t="s">
        <v>7432</v>
      </c>
      <c r="G8" s="565" t="s">
        <v>7433</v>
      </c>
    </row>
    <row r="9" customFormat="false" ht="15" hidden="false" customHeight="true" outlineLevel="0" collapsed="false">
      <c r="B9" s="113" t="s">
        <v>7434</v>
      </c>
      <c r="C9" s="533" t="n">
        <f aca="false">5</f>
        <v>5</v>
      </c>
      <c r="D9" s="1450" t="s">
        <v>7435</v>
      </c>
      <c r="E9" s="1451" t="s">
        <v>4287</v>
      </c>
      <c r="F9" s="1289" t="s">
        <v>7432</v>
      </c>
      <c r="G9" s="565" t="s">
        <v>7436</v>
      </c>
    </row>
    <row r="10" customFormat="false" ht="15" hidden="false" customHeight="true" outlineLevel="0" collapsed="false">
      <c r="B10" s="113" t="s">
        <v>7437</v>
      </c>
      <c r="C10" s="1314" t="n">
        <f aca="false">0.1</f>
        <v>0.1</v>
      </c>
      <c r="D10" s="1450" t="s">
        <v>7438</v>
      </c>
      <c r="E10" s="1451" t="s">
        <v>7439</v>
      </c>
      <c r="F10" s="1289" t="s">
        <v>4298</v>
      </c>
      <c r="G10" s="565" t="s">
        <v>7440</v>
      </c>
    </row>
    <row r="11" customFormat="false" ht="15" hidden="false" customHeight="true" outlineLevel="0" collapsed="false">
      <c r="B11" s="113" t="s">
        <v>7441</v>
      </c>
      <c r="C11" s="533" t="n">
        <f aca="false">2</f>
        <v>2</v>
      </c>
      <c r="D11" s="1450" t="s">
        <v>7442</v>
      </c>
      <c r="E11" s="1451" t="s">
        <v>4287</v>
      </c>
      <c r="F11" s="1289" t="s">
        <v>4298</v>
      </c>
      <c r="G11" s="565" t="s">
        <v>7443</v>
      </c>
    </row>
    <row r="12" customFormat="false" ht="15" hidden="false" customHeight="true" outlineLevel="0" collapsed="false">
      <c r="B12" s="113" t="s">
        <v>7444</v>
      </c>
      <c r="C12" s="1452" t="n">
        <f aca="false">2.5</f>
        <v>2.5</v>
      </c>
      <c r="D12" s="1450" t="s">
        <v>7445</v>
      </c>
      <c r="E12" s="1451" t="s">
        <v>7439</v>
      </c>
      <c r="F12" s="1289" t="s">
        <v>4298</v>
      </c>
      <c r="G12" s="565" t="s">
        <v>7446</v>
      </c>
    </row>
    <row r="13" customFormat="false" ht="15" hidden="false" customHeight="true" outlineLevel="0" collapsed="false">
      <c r="B13" s="6"/>
      <c r="F13" s="6"/>
    </row>
    <row r="14" customFormat="false" ht="21.75" hidden="false" customHeight="true" outlineLevel="0" collapsed="false">
      <c r="B14" s="72" t="s">
        <v>4312</v>
      </c>
      <c r="C14" s="72"/>
      <c r="D14" s="72"/>
      <c r="E14" s="72"/>
      <c r="F14" s="72"/>
      <c r="G14" s="72"/>
    </row>
    <row r="15" customFormat="false" ht="21.75" hidden="false" customHeight="true" outlineLevel="0" collapsed="false">
      <c r="B15" s="97" t="s">
        <v>3507</v>
      </c>
      <c r="C15" s="98" t="s">
        <v>4313</v>
      </c>
      <c r="D15" s="98" t="s">
        <v>2255</v>
      </c>
      <c r="E15" s="98" t="s">
        <v>2930</v>
      </c>
      <c r="F15" s="99" t="s">
        <v>4265</v>
      </c>
      <c r="G15" s="98" t="s">
        <v>1658</v>
      </c>
    </row>
    <row r="16" customFormat="false" ht="15" hidden="false" customHeight="true" outlineLevel="0" collapsed="false">
      <c r="B16" s="113" t="s">
        <v>4314</v>
      </c>
      <c r="C16" s="544" t="n">
        <f aca="false">'Subleasing · Revenue'!E30/12</f>
        <v>26750</v>
      </c>
      <c r="D16" s="1450" t="s">
        <v>4269</v>
      </c>
      <c r="E16" s="1451" t="s">
        <v>4287</v>
      </c>
      <c r="F16" s="1289" t="s">
        <v>4315</v>
      </c>
      <c r="G16" s="565" t="s">
        <v>4316</v>
      </c>
    </row>
    <row r="17" customFormat="false" ht="15" hidden="false" customHeight="true" outlineLevel="0" collapsed="false">
      <c r="B17" s="113" t="s">
        <v>4317</v>
      </c>
      <c r="C17" s="544" t="n">
        <f aca="false">'Subleasing · Costs'!C29/12</f>
        <v>24423.3333333333</v>
      </c>
      <c r="D17" s="1450" t="s">
        <v>4318</v>
      </c>
      <c r="E17" s="1451" t="s">
        <v>4287</v>
      </c>
      <c r="F17" s="1289" t="s">
        <v>4315</v>
      </c>
      <c r="G17" s="565" t="s">
        <v>4316</v>
      </c>
    </row>
    <row r="18" customFormat="false" ht="15" hidden="false" customHeight="true" outlineLevel="0" collapsed="false">
      <c r="B18" s="113" t="s">
        <v>4070</v>
      </c>
      <c r="C18" s="1288" t="n">
        <f aca="false">'Subleasing · Costs'!C29/'Subleasing · Revenue'!E30</f>
        <v>0.913021806853583</v>
      </c>
      <c r="D18" s="1450" t="s">
        <v>7216</v>
      </c>
      <c r="E18" s="1451" t="s">
        <v>4287</v>
      </c>
      <c r="F18" s="1289" t="s">
        <v>4315</v>
      </c>
      <c r="G18" s="565" t="s">
        <v>4320</v>
      </c>
    </row>
    <row r="19" customFormat="false" ht="15" hidden="false" customHeight="true" outlineLevel="0" collapsed="false">
      <c r="B19" s="113" t="s">
        <v>4321</v>
      </c>
      <c r="C19" s="544" t="n">
        <f aca="false">'Subleasing · Cash Flow'!F28/12</f>
        <v>26682.4594985388</v>
      </c>
      <c r="D19" s="1450" t="s">
        <v>4322</v>
      </c>
      <c r="E19" s="1451" t="s">
        <v>4287</v>
      </c>
      <c r="F19" s="1289" t="s">
        <v>4315</v>
      </c>
      <c r="G19" s="565" t="s">
        <v>6065</v>
      </c>
    </row>
    <row r="20" customFormat="false" ht="15" hidden="false" customHeight="true" outlineLevel="0" collapsed="false">
      <c r="B20" s="113" t="s">
        <v>138</v>
      </c>
      <c r="C20" s="544" t="n">
        <f aca="false">'Subleasing · Costs'!C29</f>
        <v>293080</v>
      </c>
      <c r="D20" s="1450" t="s">
        <v>7217</v>
      </c>
      <c r="E20" s="1451" t="s">
        <v>4302</v>
      </c>
      <c r="F20" s="1289" t="s">
        <v>4315</v>
      </c>
      <c r="G20" s="565" t="s">
        <v>91</v>
      </c>
    </row>
    <row r="21" customFormat="false" ht="15" hidden="false" customHeight="true" outlineLevel="0" collapsed="false">
      <c r="B21" s="113" t="s">
        <v>7218</v>
      </c>
      <c r="C21" s="1288" t="n">
        <f aca="false">'Subleasing · 8-Year'!F11/'Subleasing · 8-Year'!E11-1</f>
        <v>0.0300000000000003</v>
      </c>
      <c r="D21" s="1450" t="s">
        <v>5302</v>
      </c>
      <c r="E21" s="1451" t="s">
        <v>4330</v>
      </c>
      <c r="F21" s="1289" t="s">
        <v>4315</v>
      </c>
      <c r="G21" s="565" t="s">
        <v>7219</v>
      </c>
    </row>
    <row r="22" customFormat="false" ht="15" hidden="false" customHeight="true" outlineLevel="0" collapsed="false">
      <c r="B22" s="6"/>
      <c r="F22" s="6"/>
    </row>
    <row r="23" customFormat="false" ht="15" hidden="false" customHeight="true" outlineLevel="0" collapsed="false">
      <c r="B23" s="6"/>
      <c r="F23" s="6"/>
    </row>
    <row r="24" customFormat="false" ht="21.75" hidden="false" customHeight="true" outlineLevel="0" collapsed="false">
      <c r="B24" s="304" t="s">
        <v>5173</v>
      </c>
      <c r="C24" s="304"/>
      <c r="D24" s="304"/>
      <c r="E24" s="304"/>
      <c r="F24" s="304"/>
      <c r="G24" s="304"/>
    </row>
    <row r="25" customFormat="false" ht="120" hidden="false" customHeight="true" outlineLevel="0" collapsed="false">
      <c r="B25" s="85" t="s">
        <v>7220</v>
      </c>
      <c r="C25" s="85"/>
      <c r="D25" s="85"/>
      <c r="E25" s="85"/>
      <c r="F25" s="85"/>
      <c r="G25" s="85"/>
    </row>
    <row r="26" customFormat="false" ht="15" hidden="false" customHeight="true" outlineLevel="0" collapsed="false">
      <c r="B26" s="85"/>
      <c r="C26" s="85"/>
      <c r="D26" s="85"/>
      <c r="E26" s="85"/>
      <c r="F26" s="85"/>
      <c r="G26" s="85"/>
    </row>
    <row r="27" customFormat="false" ht="15" hidden="false" customHeight="true" outlineLevel="0" collapsed="false">
      <c r="B27" s="85"/>
      <c r="C27" s="85"/>
      <c r="D27" s="85"/>
      <c r="E27" s="85"/>
      <c r="F27" s="85"/>
      <c r="G27" s="85"/>
    </row>
    <row r="28" customFormat="false" ht="15" hidden="false" customHeight="true" outlineLevel="0" collapsed="false">
      <c r="B28" s="85"/>
      <c r="C28" s="85"/>
      <c r="D28" s="85"/>
      <c r="E28" s="85"/>
      <c r="F28" s="85"/>
      <c r="G28" s="85"/>
    </row>
    <row r="29" customFormat="false" ht="15" hidden="false" customHeight="true" outlineLevel="0" collapsed="false">
      <c r="B29" s="85"/>
      <c r="C29" s="85"/>
      <c r="D29" s="85"/>
      <c r="E29" s="85"/>
      <c r="F29" s="85"/>
      <c r="G29" s="85"/>
    </row>
  </sheetData>
  <mergeCells count="7">
    <mergeCell ref="B2:E2"/>
    <mergeCell ref="F2:I2"/>
    <mergeCell ref="B3:I3"/>
    <mergeCell ref="B5:G5"/>
    <mergeCell ref="B14:G14"/>
    <mergeCell ref="B24:G24"/>
    <mergeCell ref="B25:G2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6"/>
      <c r="F1" s="6"/>
    </row>
    <row r="2" customFormat="false" ht="27.75" hidden="false" customHeight="true" outlineLevel="0" collapsed="false">
      <c r="B2" s="1454" t="s">
        <v>4334</v>
      </c>
      <c r="C2" s="1454"/>
      <c r="D2" s="1454"/>
      <c r="E2" s="1454"/>
      <c r="F2" s="1454"/>
      <c r="G2" s="1455" t="s">
        <v>3432</v>
      </c>
      <c r="H2" s="1455"/>
      <c r="I2" s="1455"/>
      <c r="J2" s="1455"/>
    </row>
    <row r="3" customFormat="false" ht="18" hidden="false" customHeight="true" outlineLevel="0" collapsed="false">
      <c r="B3" s="1454" t="s">
        <v>6753</v>
      </c>
      <c r="C3" s="1454"/>
      <c r="D3" s="1454"/>
      <c r="E3" s="1454"/>
      <c r="F3" s="1454"/>
      <c r="G3" s="1454"/>
      <c r="H3" s="1454"/>
      <c r="I3" s="1454"/>
      <c r="J3" s="1454"/>
    </row>
    <row r="4" customFormat="false" ht="15" hidden="false" customHeight="true" outlineLevel="0" collapsed="false">
      <c r="B4" s="6"/>
      <c r="F4" s="6"/>
    </row>
    <row r="5" customFormat="false" ht="21.75" hidden="false" customHeight="true" outlineLevel="0" collapsed="false">
      <c r="B5" s="333" t="s">
        <v>5176</v>
      </c>
      <c r="C5" s="333"/>
      <c r="D5" s="333"/>
      <c r="E5" s="333"/>
      <c r="F5" s="333"/>
      <c r="G5" s="333"/>
      <c r="H5" s="333"/>
    </row>
    <row r="6" customFormat="false" ht="19.5" hidden="false" customHeight="true" outlineLevel="0" collapsed="false">
      <c r="B6" s="6" t="s">
        <v>206</v>
      </c>
      <c r="C6" s="0" t="s">
        <v>2444</v>
      </c>
      <c r="D6" s="0" t="s">
        <v>203</v>
      </c>
      <c r="E6" s="0" t="s">
        <v>2445</v>
      </c>
      <c r="F6" s="6" t="s">
        <v>2446</v>
      </c>
    </row>
    <row r="7" customFormat="false" ht="15" hidden="false" customHeight="true" outlineLevel="0" collapsed="false">
      <c r="B7" s="6" t="s">
        <v>7447</v>
      </c>
      <c r="C7" s="0" t="n">
        <f aca="false">'Subleasing · Drivers'!C12*'Subleasing · Drivers'!C13</f>
        <v>180625</v>
      </c>
      <c r="D7" s="0" t="n">
        <f aca="false">'Subleasing · Drivers'!D12*'Subleasing · Drivers'!D13</f>
        <v>250000</v>
      </c>
      <c r="E7" s="0" t="n">
        <f aca="false">'Subleasing · Drivers'!E12*'Subleasing · Drivers'!E13</f>
        <v>302500</v>
      </c>
      <c r="F7" s="6" t="n">
        <f aca="false">E7/C7</f>
        <v>1.67474048442907</v>
      </c>
    </row>
    <row r="8" customFormat="false" ht="15" hidden="false" customHeight="true" outlineLevel="0" collapsed="false">
      <c r="B8" s="6" t="s">
        <v>7448</v>
      </c>
      <c r="C8" s="0" t="n">
        <f aca="false">'Subleasing · Drivers'!C16*'Subleasing · Drivers'!C18*'Subleasing · Drivers'!C19</f>
        <v>46282.5</v>
      </c>
      <c r="D8" s="0" t="n">
        <f aca="false">'Subleasing · Drivers'!D16*'Subleasing · Drivers'!D18*'Subleasing · Drivers'!D19</f>
        <v>71000</v>
      </c>
      <c r="E8" s="0" t="n">
        <f aca="false">'Subleasing · Drivers'!E16*'Subleasing · Drivers'!E18*'Subleasing · Drivers'!E19</f>
        <v>92664</v>
      </c>
      <c r="F8" s="6" t="n">
        <f aca="false">E8/C8</f>
        <v>2.00213903743316</v>
      </c>
    </row>
    <row r="9" customFormat="false" ht="15" hidden="false" customHeight="true" outlineLevel="0" collapsed="false">
      <c r="B9" s="6"/>
      <c r="F9" s="6"/>
    </row>
    <row r="10" customFormat="false" ht="15" hidden="false" customHeight="true" outlineLevel="0" collapsed="false">
      <c r="B10" s="6" t="s">
        <v>4983</v>
      </c>
      <c r="C10" s="0" t="n">
        <f aca="false">C7+C8</f>
        <v>226907.5</v>
      </c>
      <c r="D10" s="0" t="n">
        <f aca="false">D7+D8</f>
        <v>321000</v>
      </c>
      <c r="E10" s="0" t="n">
        <f aca="false">E7+E8</f>
        <v>395164</v>
      </c>
      <c r="F10" s="6" t="n">
        <f aca="false">E10/C10</f>
        <v>1.74152022299836</v>
      </c>
    </row>
    <row r="11" customFormat="false" ht="15" hidden="false" customHeight="true" outlineLevel="0" collapsed="false">
      <c r="B11" s="6"/>
      <c r="F11" s="6"/>
    </row>
    <row r="12" customFormat="false" ht="15" hidden="false" customHeight="true" outlineLevel="0" collapsed="false">
      <c r="B12" s="6"/>
      <c r="F12" s="6"/>
    </row>
    <row r="13" customFormat="false" ht="21.75" hidden="false" customHeight="true" outlineLevel="0" collapsed="false">
      <c r="B13" s="333" t="s">
        <v>2447</v>
      </c>
      <c r="C13" s="333"/>
      <c r="D13" s="333"/>
      <c r="E13" s="333"/>
      <c r="F13" s="333"/>
      <c r="G13" s="333"/>
      <c r="H13" s="333"/>
    </row>
    <row r="14" customFormat="false" ht="15" hidden="false" customHeight="true" outlineLevel="0" collapsed="false">
      <c r="B14" s="6" t="s">
        <v>738</v>
      </c>
      <c r="C14" s="0" t="s">
        <v>962</v>
      </c>
      <c r="D14" s="0" t="s">
        <v>207</v>
      </c>
      <c r="E14" s="0" t="s">
        <v>2448</v>
      </c>
      <c r="F14" s="6"/>
    </row>
    <row r="15" customFormat="false" ht="15" hidden="false" customHeight="true" outlineLevel="0" collapsed="false">
      <c r="B15" s="6" t="s">
        <v>2449</v>
      </c>
      <c r="C15" s="0" t="n">
        <v>0.2</v>
      </c>
      <c r="D15" s="0" t="n">
        <f aca="false">C10</f>
        <v>226907.5</v>
      </c>
      <c r="E15" s="0" t="n">
        <f aca="false">C15*D15</f>
        <v>45381.5</v>
      </c>
      <c r="F15" s="6"/>
    </row>
    <row r="16" customFormat="false" ht="15" hidden="false" customHeight="true" outlineLevel="0" collapsed="false">
      <c r="B16" s="6" t="s">
        <v>2283</v>
      </c>
      <c r="C16" s="0" t="n">
        <v>0.55</v>
      </c>
      <c r="D16" s="0" t="n">
        <f aca="false">D10</f>
        <v>321000</v>
      </c>
      <c r="E16" s="0" t="n">
        <f aca="false">C16*D16</f>
        <v>176550</v>
      </c>
      <c r="F16" s="6"/>
    </row>
    <row r="17" customFormat="false" ht="15" hidden="false" customHeight="true" outlineLevel="0" collapsed="false">
      <c r="B17" s="6" t="s">
        <v>2450</v>
      </c>
      <c r="C17" s="0" t="n">
        <v>0.25</v>
      </c>
      <c r="D17" s="0" t="n">
        <f aca="false">E10</f>
        <v>395164</v>
      </c>
      <c r="E17" s="0" t="n">
        <f aca="false">C17*D17</f>
        <v>98791</v>
      </c>
      <c r="F17" s="6"/>
    </row>
    <row r="18" customFormat="false" ht="15" hidden="false" customHeight="true" outlineLevel="0" collapsed="false">
      <c r="B18" s="6" t="s">
        <v>342</v>
      </c>
      <c r="C18" s="0" t="n">
        <f aca="false">SUM(C15:C17)</f>
        <v>1</v>
      </c>
      <c r="F18" s="6"/>
    </row>
    <row r="19" customFormat="false" ht="15" hidden="false" customHeight="true" outlineLevel="0" collapsed="false">
      <c r="B19" s="6"/>
      <c r="F19" s="6"/>
    </row>
    <row r="20" customFormat="false" ht="27.75" hidden="false" customHeight="true" outlineLevel="0" collapsed="false">
      <c r="B20" s="6" t="s">
        <v>5179</v>
      </c>
      <c r="E20" s="0" t="n">
        <f aca="false">SUM(E15:E17)</f>
        <v>320722.5</v>
      </c>
      <c r="F20" s="6"/>
    </row>
  </sheetData>
  <mergeCells count="5">
    <mergeCell ref="B2:F2"/>
    <mergeCell ref="G2:J2"/>
    <mergeCell ref="B3:J3"/>
    <mergeCell ref="B5:H5"/>
    <mergeCell ref="B13:H1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7221</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7449</v>
      </c>
      <c r="C8" s="360" t="n">
        <f aca="false">('Subleasing · Drivers'!D7*'Subleasing · Drivers'!D8*'Subleasing · Drivers'!D9*UNIVERSAL_DRIVERS!$C$33*'Subleasing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D8" s="1280" t="n">
        <f aca="false">('Subleasing · Drivers'!D7*'Subleasing · Drivers'!D8*'Subleasing · Drivers'!D9*UNIVERSAL_DRIVERS!$C$34*'Subleasing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E8" s="1319" t="n">
        <f aca="false">('Subleasing · Drivers'!D7*'Subleasing · Drivers'!D8*'Subleasing · Drivers'!D9*1*'Subleasing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F8" s="1320" t="n">
        <f aca="false">('Subleasing · Drivers'!D7*'Subleasing · Drivers'!D8*'Subleasing · Drivers'!D9*1.1*'Subleasing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G8" s="1321" t="n">
        <f aca="false">('Subleasing · Drivers'!D7*'Subleasing · Drivers'!D8*'Subleasing · Drivers'!D9*1.2*'Subleasing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row>
    <row r="9" customFormat="false" ht="120" hidden="false" customHeight="true" outlineLevel="0" collapsed="false">
      <c r="B9" s="113" t="s">
        <v>7450</v>
      </c>
      <c r="C9" s="360" t="n">
        <f aca="false">('Subleasing · Drivers'!D7*'Subleasing · Drivers'!D8*'Subleasing · Drivers'!D9*'Subleasing · Drivers'!D10)+(('Subleasing · Drivers'!D12*'Subleasing · Drivers'!D14*'Subleasing · Drivers'!D16) + ('Subleasing · Drivers'!D13*UNIVERSAL_DRIVERS!$C$33*'Subleasing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D9" s="1280" t="n">
        <f aca="false">('Subleasing · Drivers'!D7*'Subleasing · Drivers'!D8*'Subleasing · Drivers'!D9*'Subleasing · Drivers'!D10)+(('Subleasing · Drivers'!D12*'Subleasing · Drivers'!D14*'Subleasing · Drivers'!D16) + ('Subleasing · Drivers'!D13*UNIVERSAL_DRIVERS!$C$34*'Subleasing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E9" s="1319" t="n">
        <f aca="false">('Subleasing · Drivers'!D7*'Subleasing · Drivers'!D8*'Subleasing · Drivers'!D9*'Subleasing · Drivers'!D10)+(('Subleasing · Drivers'!D12*'Subleasing · Drivers'!D14*'Subleasing · Drivers'!D16) + ('Subleasing · Drivers'!D13*1*'Subleasing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F9" s="1320" t="n">
        <f aca="false">('Subleasing · Drivers'!D7*'Subleasing · Drivers'!D8*'Subleasing · Drivers'!D9*'Subleasing · Drivers'!D10)+(('Subleasing · Drivers'!D12*'Subleasing · Drivers'!D14*'Subleasing · Drivers'!D16) + ('Subleasing · Drivers'!D13*1.1*'Subleasing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G9" s="1321" t="n">
        <f aca="false">('Subleasing · Drivers'!D7*'Subleasing · Drivers'!D8*'Subleasing · Drivers'!D9*'Subleasing · Drivers'!D10)+(('Subleasing · Drivers'!D12*'Subleasing · Drivers'!D14*'Subleasing · Drivers'!D16) + ('Subleasing · Drivers'!D13*1.2*'Subleasing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row>
    <row r="10" customFormat="false" ht="120" hidden="false" customHeight="true" outlineLevel="0" collapsed="false">
      <c r="B10" s="113" t="s">
        <v>7451</v>
      </c>
      <c r="C10" s="360" t="n">
        <f aca="false">('Subleasing · Drivers'!D7*'Subleasing · Drivers'!D8*'Subleasing · Drivers'!D9*'Subleasing · Drivers'!D10)+(('Subleasing · Drivers'!D12*'Subleasing · Drivers'!D14*'Subleasing · Drivers'!D16) + ('Subleasing · Drivers'!D13*'Subleasing · Drivers'!D15*UNIVERSAL_DRIVERS!$C$33*'Subleasing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D10" s="1280" t="n">
        <f aca="false">('Subleasing · Drivers'!D7*'Subleasing · Drivers'!D8*'Subleasing · Drivers'!D9*'Subleasing · Drivers'!D10)+(('Subleasing · Drivers'!D12*'Subleasing · Drivers'!D14*'Subleasing · Drivers'!D16) + ('Subleasing · Drivers'!D13*'Subleasing · Drivers'!D15*UNIVERSAL_DRIVERS!$C$34*'Subleasing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E10" s="1319" t="n">
        <f aca="false">('Subleasing · Drivers'!D7*'Subleasing · Drivers'!D8*'Subleasing · Drivers'!D9*'Subleasing · Drivers'!D10)+(('Subleasing · Drivers'!D12*'Subleasing · Drivers'!D14*'Subleasing · Drivers'!D16) + ('Subleasing · Drivers'!D13*'Subleasing · Drivers'!D15*1*'Subleasing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F10" s="1320" t="n">
        <f aca="false">('Subleasing · Drivers'!D7*'Subleasing · Drivers'!D8*'Subleasing · Drivers'!D9*'Subleasing · Drivers'!D10)+(('Subleasing · Drivers'!D12*'Subleasing · Drivers'!D14*'Subleasing · Drivers'!D16) + ('Subleasing · Drivers'!D13*'Subleasing · Drivers'!D15*1.1*'Subleasing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G10" s="1321" t="n">
        <f aca="false">('Subleasing · Drivers'!D7*'Subleasing · Drivers'!D8*'Subleasing · Drivers'!D9*'Subleasing · Drivers'!D10)+(('Subleasing · Drivers'!D12*'Subleasing · Drivers'!D14*'Subleasing · Drivers'!D16) + ('Subleasing · Drivers'!D13*'Subleasing · Drivers'!D15*1.2*'Subleasing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row>
    <row r="11" customFormat="false" ht="120" hidden="false" customHeight="true" outlineLevel="0" collapsed="false">
      <c r="B11" s="113" t="s">
        <v>7452</v>
      </c>
      <c r="C11" s="36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Drivers'!D19*UNIVERSAL_DRIVERS!$C$33*'Subleasing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D11" s="128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Drivers'!D19*UNIVERSAL_DRIVERS!$C$34*'Subleasing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E11" s="1319"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Drivers'!D19*1*'Subleasing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F11" s="132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Drivers'!D19*1.1*'Subleasing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c r="G11" s="1321"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Drivers'!D19*1.2*'Subleasing · Drivers'!D21*'Subleasing · Drivers'!D22))+(('Subleasing · Drivers'!D24*'Subleasing · Drivers'!D26*'Subleasing · Drivers'!D28) + ('Subleasing · Drivers'!D25*'Subleasing · Drivers'!D27*'Subleasing · Drivers'!D28))+(('Subleasing · Drivers'!D30*'Subleasing · Drivers'!D32*'Subleasing · Drivers'!D34) + ('Subleasing · Drivers'!D31*'Subleasing · Drivers'!D33*'Subleasing · Drivers'!D34))</f>
        <v>0</v>
      </c>
    </row>
    <row r="12" customFormat="false" ht="120" hidden="false" customHeight="true" outlineLevel="0" collapsed="false">
      <c r="B12" s="113" t="s">
        <v>7453</v>
      </c>
      <c r="C12" s="36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Drivers'!D25*UNIVERSAL_DRIVERS!$C$33*'Subleasing · Drivers'!D27*'Subleasing · Drivers'!D28))+(('Subleasing · Drivers'!D30*'Subleasing · Drivers'!D32*'Subleasing · Drivers'!D34) + ('Subleasing · Drivers'!D31*'Subleasing · Drivers'!D33*'Subleasing · Drivers'!D34))</f>
        <v>0</v>
      </c>
      <c r="D12" s="128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Drivers'!D25*UNIVERSAL_DRIVERS!$C$34*'Subleasing · Drivers'!D27*'Subleasing · Drivers'!D28))+(('Subleasing · Drivers'!D30*'Subleasing · Drivers'!D32*'Subleasing · Drivers'!D34) + ('Subleasing · Drivers'!D31*'Subleasing · Drivers'!D33*'Subleasing · Drivers'!D34))</f>
        <v>0</v>
      </c>
      <c r="E12" s="1319"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Drivers'!D25*1*'Subleasing · Drivers'!D27*'Subleasing · Drivers'!D28))+(('Subleasing · Drivers'!D30*'Subleasing · Drivers'!D32*'Subleasing · Drivers'!D34) + ('Subleasing · Drivers'!D31*'Subleasing · Drivers'!D33*'Subleasing · Drivers'!D34))</f>
        <v>0</v>
      </c>
      <c r="F12" s="132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Drivers'!D25*1.1*'Subleasing · Drivers'!D27*'Subleasing · Drivers'!D28))+(('Subleasing · Drivers'!D30*'Subleasing · Drivers'!D32*'Subleasing · Drivers'!D34) + ('Subleasing · Drivers'!D31*'Subleasing · Drivers'!D33*'Subleasing · Drivers'!D34))</f>
        <v>0</v>
      </c>
      <c r="G12" s="1321"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Drivers'!D25*1.2*'Subleasing · Drivers'!D27*'Subleasing · Drivers'!D28))+(('Subleasing · Drivers'!D30*'Subleasing · Drivers'!D32*'Subleasing · Drivers'!D34) + ('Subleasing · Drivers'!D31*'Subleasing · Drivers'!D33*'Subleasing · Drivers'!D34))</f>
        <v>0</v>
      </c>
    </row>
    <row r="13" customFormat="false" ht="120" hidden="false" customHeight="true" outlineLevel="0" collapsed="false">
      <c r="B13" s="113" t="s">
        <v>7454</v>
      </c>
      <c r="C13" s="36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Drivers'!D31*UNIVERSAL_DRIVERS!$C$33*'Subleasing · Drivers'!D33*'Subleasing · Drivers'!D34))</f>
        <v>0</v>
      </c>
      <c r="D13" s="128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Drivers'!D31*UNIVERSAL_DRIVERS!$C$34*'Subleasing · Drivers'!D33*'Subleasing · Drivers'!D34))</f>
        <v>0</v>
      </c>
      <c r="E13" s="1319"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Drivers'!D31*1*'Subleasing · Drivers'!D33*'Subleasing · Drivers'!D34))</f>
        <v>0</v>
      </c>
      <c r="F13" s="132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Drivers'!D31*1.1*'Subleasing · Drivers'!D33*'Subleasing · Drivers'!D34))</f>
        <v>0</v>
      </c>
      <c r="G13" s="1321"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Drivers'!D21*'Subleasing · Drivers'!D22))+(('Subleasing · Drivers'!D24*'Subleasing · Drivers'!D26*'Subleasing · Drivers'!D28) + ('Subleasing · Drivers'!D25*'Subleasing · Drivers'!D27*'Subleasing · Drivers'!D28))+(('Subleasing · Drivers'!D30*'Subleasing · Drivers'!D32*'Subleasing · Drivers'!D34) + ('Subleasing · Drivers'!D31*1.2*'Subleasing · Drivers'!D33*'Subleasing · Drivers'!D34))</f>
        <v>0</v>
      </c>
    </row>
    <row r="14" customFormat="false" ht="120" hidden="false" customHeight="true" outlineLevel="0" collapsed="false">
      <c r="B14" s="113" t="s">
        <v>7455</v>
      </c>
      <c r="C14" s="36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Drivers'!D21*UNIVERSAL_DRIVERS!$C$33*'Subleasing · Drivers'!D22))+(('Subleasing · Drivers'!D24*'Subleasing · Drivers'!D26*'Subleasing · Drivers'!D28) + ('Subleasing · Drivers'!D25*'Subleasing · Drivers'!D27*UNIVERSAL_DRIVERS!$C$33*'Subleasing · Drivers'!D28))+(('Subleasing · Drivers'!D30*'Subleasing · Drivers'!D32*'Subleasing · Drivers'!D34) + ('Subleasing · Drivers'!D31*'Subleasing · Drivers'!D33*UNIVERSAL_DRIVERS!$C$33*'Subleasing · Drivers'!D34))</f>
        <v>0</v>
      </c>
      <c r="D14" s="128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Drivers'!D21*UNIVERSAL_DRIVERS!$C$34*'Subleasing · Drivers'!D22))+(('Subleasing · Drivers'!D24*'Subleasing · Drivers'!D26*'Subleasing · Drivers'!D28) + ('Subleasing · Drivers'!D25*'Subleasing · Drivers'!D27*UNIVERSAL_DRIVERS!$C$34*'Subleasing · Drivers'!D28))+(('Subleasing · Drivers'!D30*'Subleasing · Drivers'!D32*'Subleasing · Drivers'!D34) + ('Subleasing · Drivers'!D31*'Subleasing · Drivers'!D33*UNIVERSAL_DRIVERS!$C$34*'Subleasing · Drivers'!D34))</f>
        <v>0</v>
      </c>
      <c r="E14" s="1319"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Drivers'!D21*1*'Subleasing · Drivers'!D22))+(('Subleasing · Drivers'!D24*'Subleasing · Drivers'!D26*'Subleasing · Drivers'!D28) + ('Subleasing · Drivers'!D25*'Subleasing · Drivers'!D27*1*'Subleasing · Drivers'!D28))+(('Subleasing · Drivers'!D30*'Subleasing · Drivers'!D32*'Subleasing · Drivers'!D34) + ('Subleasing · Drivers'!D31*'Subleasing · Drivers'!D33*1*'Subleasing · Drivers'!D34))</f>
        <v>0</v>
      </c>
      <c r="F14" s="1320"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Drivers'!D21*1.1*'Subleasing · Drivers'!D22))+(('Subleasing · Drivers'!D24*'Subleasing · Drivers'!D26*'Subleasing · Drivers'!D28) + ('Subleasing · Drivers'!D25*'Subleasing · Drivers'!D27*1.1*'Subleasing · Drivers'!D28))+(('Subleasing · Drivers'!D30*'Subleasing · Drivers'!D32*'Subleasing · Drivers'!D34) + ('Subleasing · Drivers'!D31*'Subleasing · Drivers'!D33*1.1*'Subleasing · Drivers'!D34))</f>
        <v>0</v>
      </c>
      <c r="G14" s="1321" t="n">
        <f aca="false">('Subleasing · Drivers'!D7*'Subleasing · Drivers'!D8*'Subleasing · Drivers'!D9*'Subleasing · Drivers'!D10)+(('Subleasing · Drivers'!D12*'Subleasing · Drivers'!D14*'Subleasing · Drivers'!D16) + ('Subleasing · Drivers'!D13*'Subleasing · Drivers'!D15*'Subleasing · Drivers'!D16))+(('Subleasing · Drivers'!D18*'Subleasing · Drivers'!D20*'Subleasing · Drivers'!D22) + ('Subleasing · Drivers'!D19*'Subleasing · Drivers'!D21*1.2*'Subleasing · Drivers'!D22))+(('Subleasing · Drivers'!D24*'Subleasing · Drivers'!D26*'Subleasing · Drivers'!D28) + ('Subleasing · Drivers'!D25*'Subleasing · Drivers'!D27*1.2*'Subleasing · Drivers'!D28))+(('Subleasing · Drivers'!D30*'Subleasing · Drivers'!D32*'Subleasing · Drivers'!D34) + ('Subleasing · Drivers'!D31*'Subleasing · Drivers'!D33*1.2*'Subleasing · Drivers'!D34))</f>
        <v>0</v>
      </c>
    </row>
    <row r="15" customFormat="false" ht="15" hidden="false" customHeight="true" outlineLevel="0" collapsed="false">
      <c r="B15" s="6"/>
      <c r="F15" s="6"/>
    </row>
    <row r="16" customFormat="false" ht="15" hidden="false" customHeight="true" outlineLevel="0" collapsed="false">
      <c r="B16" s="6"/>
      <c r="F16" s="6"/>
    </row>
    <row r="17" customFormat="false" ht="21.75" hidden="false" customHeight="true" outlineLevel="0" collapsed="false">
      <c r="B17" s="304" t="s">
        <v>2343</v>
      </c>
      <c r="C17" s="304"/>
      <c r="D17" s="304"/>
      <c r="E17" s="304"/>
      <c r="F17" s="304"/>
      <c r="G17" s="304"/>
      <c r="H17" s="304"/>
    </row>
    <row r="18" customFormat="false" ht="93.75" hidden="false" customHeight="true" outlineLevel="0" collapsed="false">
      <c r="B18" s="85" t="s">
        <v>7456</v>
      </c>
      <c r="C18" s="85"/>
      <c r="D18" s="85"/>
      <c r="E18" s="85"/>
      <c r="F18" s="85"/>
      <c r="G18" s="85"/>
    </row>
    <row r="19" customFormat="false" ht="15" hidden="false" customHeight="true" outlineLevel="0" collapsed="false">
      <c r="B19" s="85"/>
      <c r="C19" s="85"/>
      <c r="D19" s="85"/>
      <c r="E19" s="85"/>
      <c r="F19" s="85"/>
      <c r="G19" s="85"/>
    </row>
    <row r="20" customFormat="false" ht="15" hidden="false" customHeight="true" outlineLevel="0" collapsed="false">
      <c r="B20" s="85"/>
      <c r="C20" s="85"/>
      <c r="D20" s="85"/>
      <c r="E20" s="85"/>
      <c r="F20" s="85"/>
      <c r="G20" s="85"/>
    </row>
    <row r="21" customFormat="false" ht="15" hidden="false" customHeight="true" outlineLevel="0" collapsed="false">
      <c r="B21" s="85"/>
      <c r="C21" s="85"/>
      <c r="D21" s="85"/>
      <c r="E21" s="85"/>
      <c r="F21" s="85"/>
      <c r="G21" s="85"/>
    </row>
  </sheetData>
  <mergeCells count="6">
    <mergeCell ref="B2:F2"/>
    <mergeCell ref="G2:J2"/>
    <mergeCell ref="B3:J3"/>
    <mergeCell ref="B5:H5"/>
    <mergeCell ref="B17:H17"/>
    <mergeCell ref="B18:G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04848"/>
    <pageSetUpPr fitToPage="false"/>
  </sheetPr>
  <dimension ref="B1:F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8.16"/>
    <col collapsed="false" customWidth="true" hidden="false" outlineLevel="0" max="5" min="3" style="0" width="11"/>
    <col collapsed="false" customWidth="true" hidden="false" outlineLevel="0" max="6" min="6" style="0" width="28"/>
  </cols>
  <sheetData>
    <row r="1" customFormat="false" ht="3.75" hidden="false" customHeight="true" outlineLevel="0" collapsed="false">
      <c r="B1" s="417"/>
      <c r="C1" s="418"/>
      <c r="D1" s="418"/>
      <c r="E1" s="418"/>
      <c r="F1" s="417"/>
    </row>
    <row r="2" customFormat="false" ht="36" hidden="false" customHeight="true" outlineLevel="0" collapsed="false">
      <c r="B2" s="419" t="s">
        <v>1303</v>
      </c>
      <c r="F2" s="6"/>
    </row>
    <row r="3" customFormat="false" ht="81" hidden="false" customHeight="true" outlineLevel="0" collapsed="false">
      <c r="B3" s="420" t="s">
        <v>1304</v>
      </c>
      <c r="F3" s="6"/>
    </row>
    <row r="4" customFormat="false" ht="15" hidden="false" customHeight="true" outlineLevel="0" collapsed="false">
      <c r="B4" s="6"/>
      <c r="F4" s="6"/>
    </row>
    <row r="5" customFormat="false" ht="36" hidden="false" customHeight="true" outlineLevel="0" collapsed="false">
      <c r="B5" s="43" t="s">
        <v>1305</v>
      </c>
      <c r="C5" s="43"/>
      <c r="D5" s="43"/>
      <c r="E5" s="43"/>
      <c r="F5" s="43"/>
    </row>
    <row r="6" customFormat="false" ht="21.75" hidden="false" customHeight="true" outlineLevel="0" collapsed="false">
      <c r="B6" s="97" t="s">
        <v>1306</v>
      </c>
      <c r="C6" s="98" t="s">
        <v>393</v>
      </c>
      <c r="D6" s="98" t="s">
        <v>1307</v>
      </c>
      <c r="E6" s="98" t="s">
        <v>1308</v>
      </c>
      <c r="F6" s="97" t="s">
        <v>1309</v>
      </c>
    </row>
    <row r="7" customFormat="false" ht="36" hidden="false" customHeight="true" outlineLevel="0" collapsed="false">
      <c r="B7" s="113" t="s">
        <v>1310</v>
      </c>
      <c r="C7" s="421" t="n">
        <v>0.85</v>
      </c>
      <c r="D7" s="422" t="n">
        <f aca="false">C7-1</f>
        <v>-0.15</v>
      </c>
      <c r="E7" s="423" t="s">
        <v>1311</v>
      </c>
      <c r="F7" s="128" t="s">
        <v>1312</v>
      </c>
    </row>
    <row r="8" customFormat="false" ht="36" hidden="false" customHeight="true" outlineLevel="0" collapsed="false">
      <c r="B8" s="113" t="s">
        <v>1313</v>
      </c>
      <c r="C8" s="421" t="n">
        <v>0.92</v>
      </c>
      <c r="D8" s="422" t="n">
        <f aca="false">C8-1</f>
        <v>-0.08</v>
      </c>
      <c r="E8" s="423" t="s">
        <v>1314</v>
      </c>
      <c r="F8" s="128" t="s">
        <v>1315</v>
      </c>
    </row>
    <row r="9" customFormat="false" ht="24" hidden="false" customHeight="true" outlineLevel="0" collapsed="false">
      <c r="B9" s="113" t="s">
        <v>1316</v>
      </c>
      <c r="C9" s="421" t="n">
        <v>0.92</v>
      </c>
      <c r="D9" s="422" t="n">
        <f aca="false">C9-1</f>
        <v>-0.08</v>
      </c>
      <c r="E9" s="423" t="s">
        <v>1317</v>
      </c>
      <c r="F9" s="128" t="s">
        <v>1318</v>
      </c>
    </row>
    <row r="10" customFormat="false" ht="33.75" hidden="false" customHeight="true" outlineLevel="0" collapsed="false">
      <c r="B10" s="113" t="s">
        <v>1319</v>
      </c>
      <c r="C10" s="421" t="n">
        <v>0.85</v>
      </c>
      <c r="D10" s="422" t="n">
        <f aca="false">C10-1</f>
        <v>-0.15</v>
      </c>
      <c r="E10" s="423" t="s">
        <v>1320</v>
      </c>
      <c r="F10" s="128" t="s">
        <v>1321</v>
      </c>
    </row>
    <row r="11" customFormat="false" ht="24" hidden="false" customHeight="true" outlineLevel="0" collapsed="false">
      <c r="B11" s="113" t="s">
        <v>1322</v>
      </c>
      <c r="C11" s="421" t="n">
        <v>0.88</v>
      </c>
      <c r="D11" s="422" t="n">
        <f aca="false">C11-1</f>
        <v>-0.12</v>
      </c>
      <c r="E11" s="423" t="s">
        <v>1323</v>
      </c>
      <c r="F11" s="128" t="s">
        <v>1324</v>
      </c>
    </row>
    <row r="12" customFormat="false" ht="36" hidden="false" customHeight="true" outlineLevel="0" collapsed="false">
      <c r="B12" s="113" t="s">
        <v>1325</v>
      </c>
      <c r="C12" s="421" t="n">
        <v>0.75</v>
      </c>
      <c r="D12" s="422" t="n">
        <f aca="false">C12-1</f>
        <v>-0.25</v>
      </c>
      <c r="E12" s="423" t="s">
        <v>1326</v>
      </c>
      <c r="F12" s="128" t="s">
        <v>1327</v>
      </c>
    </row>
    <row r="13" customFormat="false" ht="33.75" hidden="false" customHeight="true" outlineLevel="0" collapsed="false">
      <c r="B13" s="113" t="s">
        <v>1328</v>
      </c>
      <c r="C13" s="421" t="n">
        <v>0.88</v>
      </c>
      <c r="D13" s="422" t="n">
        <f aca="false">C13-1</f>
        <v>-0.12</v>
      </c>
      <c r="E13" s="423" t="s">
        <v>1329</v>
      </c>
      <c r="F13" s="128" t="s">
        <v>1330</v>
      </c>
    </row>
    <row r="14" customFormat="false" ht="21.75" hidden="false" customHeight="true" outlineLevel="0" collapsed="false">
      <c r="B14" s="43" t="s">
        <v>1331</v>
      </c>
      <c r="C14" s="43"/>
      <c r="D14" s="43"/>
      <c r="E14" s="43"/>
      <c r="F14" s="43"/>
    </row>
    <row r="15" customFormat="false" ht="21.75" hidden="false" customHeight="true" outlineLevel="0" collapsed="false">
      <c r="B15" s="97" t="s">
        <v>1306</v>
      </c>
      <c r="C15" s="98" t="s">
        <v>393</v>
      </c>
      <c r="D15" s="98" t="s">
        <v>1307</v>
      </c>
      <c r="E15" s="98" t="s">
        <v>1332</v>
      </c>
      <c r="F15" s="97" t="s">
        <v>1309</v>
      </c>
    </row>
    <row r="16" customFormat="false" ht="36" hidden="false" customHeight="true" outlineLevel="0" collapsed="false">
      <c r="B16" s="113" t="s">
        <v>1333</v>
      </c>
      <c r="C16" s="424" t="n">
        <v>1</v>
      </c>
      <c r="D16" s="425" t="n">
        <f aca="false">C16-1</f>
        <v>0</v>
      </c>
      <c r="E16" s="423" t="s">
        <v>1334</v>
      </c>
      <c r="F16" s="128" t="s">
        <v>1335</v>
      </c>
    </row>
    <row r="17" customFormat="false" ht="36" hidden="false" customHeight="true" outlineLevel="0" collapsed="false">
      <c r="B17" s="113" t="s">
        <v>1336</v>
      </c>
      <c r="C17" s="426" t="s">
        <v>1337</v>
      </c>
      <c r="D17" s="427" t="s">
        <v>1338</v>
      </c>
      <c r="E17" s="427"/>
      <c r="F17" s="428" t="s">
        <v>1339</v>
      </c>
    </row>
    <row r="18" customFormat="false" ht="21.75" hidden="false" customHeight="true" outlineLevel="0" collapsed="false">
      <c r="B18" s="43" t="s">
        <v>1340</v>
      </c>
      <c r="C18" s="43"/>
      <c r="D18" s="43"/>
      <c r="E18" s="43"/>
      <c r="F18" s="43"/>
    </row>
    <row r="19" customFormat="false" ht="21.75" hidden="false" customHeight="true" outlineLevel="0" collapsed="false">
      <c r="B19" s="97" t="s">
        <v>392</v>
      </c>
      <c r="C19" s="98" t="s">
        <v>393</v>
      </c>
      <c r="D19" s="98" t="s">
        <v>1307</v>
      </c>
      <c r="E19" s="98" t="s">
        <v>1332</v>
      </c>
      <c r="F19" s="97" t="s">
        <v>1309</v>
      </c>
    </row>
    <row r="20" customFormat="false" ht="36" hidden="false" customHeight="true" outlineLevel="0" collapsed="false">
      <c r="B20" s="113" t="s">
        <v>1341</v>
      </c>
      <c r="C20" s="429" t="n">
        <v>3</v>
      </c>
      <c r="D20" s="430" t="s">
        <v>1342</v>
      </c>
      <c r="E20" s="431" t="s">
        <v>1343</v>
      </c>
      <c r="F20" s="128" t="s">
        <v>1344</v>
      </c>
    </row>
    <row r="21" customFormat="false" ht="33.75" hidden="false" customHeight="true" outlineLevel="0" collapsed="false">
      <c r="B21" s="113" t="s">
        <v>1345</v>
      </c>
      <c r="C21" s="432" t="n">
        <f aca="false">(12-C20)/12</f>
        <v>0.75</v>
      </c>
      <c r="D21" s="433" t="s">
        <v>1346</v>
      </c>
      <c r="E21" s="431" t="s">
        <v>1347</v>
      </c>
      <c r="F21" s="128" t="s">
        <v>1348</v>
      </c>
    </row>
    <row r="22" customFormat="false" ht="15" hidden="false" customHeight="true" outlineLevel="0" collapsed="false">
      <c r="B22" s="6"/>
      <c r="F22" s="6"/>
    </row>
    <row r="23" customFormat="false" ht="33.75" hidden="false" customHeight="true" outlineLevel="0" collapsed="false">
      <c r="B23" s="43" t="s">
        <v>1349</v>
      </c>
      <c r="C23" s="43"/>
      <c r="D23" s="43"/>
      <c r="E23" s="43"/>
      <c r="F23" s="43"/>
    </row>
    <row r="24" customFormat="false" ht="21.75" hidden="false" customHeight="true" outlineLevel="0" collapsed="false">
      <c r="B24" s="97" t="s">
        <v>136</v>
      </c>
      <c r="C24" s="98" t="s">
        <v>1350</v>
      </c>
      <c r="D24" s="98" t="s">
        <v>1351</v>
      </c>
      <c r="E24" s="98" t="s">
        <v>1352</v>
      </c>
      <c r="F24" s="97" t="s">
        <v>1353</v>
      </c>
    </row>
    <row r="25" customFormat="false" ht="24" hidden="false" customHeight="true" outlineLevel="0" collapsed="false">
      <c r="B25" s="113" t="s">
        <v>217</v>
      </c>
      <c r="C25" s="434" t="n">
        <f aca="false">C7*C8*C9</f>
        <v>0.71944</v>
      </c>
      <c r="D25" s="435" t="n">
        <f aca="false">C25*C21</f>
        <v>0.53958</v>
      </c>
      <c r="E25" s="436" t="s">
        <v>1354</v>
      </c>
      <c r="F25" s="128" t="s">
        <v>1355</v>
      </c>
    </row>
    <row r="26" customFormat="false" ht="36" hidden="false" customHeight="true" outlineLevel="0" collapsed="false">
      <c r="B26" s="113" t="s">
        <v>218</v>
      </c>
      <c r="C26" s="434" t="n">
        <f aca="false">C10*C9</f>
        <v>0.782</v>
      </c>
      <c r="D26" s="435" t="n">
        <f aca="false">C26*C21</f>
        <v>0.5865</v>
      </c>
      <c r="E26" s="436" t="s">
        <v>1356</v>
      </c>
      <c r="F26" s="128" t="s">
        <v>1357</v>
      </c>
    </row>
    <row r="27" customFormat="false" ht="24" hidden="false" customHeight="true" outlineLevel="0" collapsed="false">
      <c r="B27" s="113" t="s">
        <v>145</v>
      </c>
      <c r="C27" s="434" t="n">
        <f aca="false">C11*C9</f>
        <v>0.8096</v>
      </c>
      <c r="D27" s="435" t="n">
        <f aca="false">C27*C21</f>
        <v>0.6072</v>
      </c>
      <c r="E27" s="436" t="s">
        <v>1358</v>
      </c>
      <c r="F27" s="128" t="s">
        <v>1359</v>
      </c>
    </row>
    <row r="28" customFormat="false" ht="24" hidden="false" customHeight="true" outlineLevel="0" collapsed="false">
      <c r="B28" s="113" t="s">
        <v>219</v>
      </c>
      <c r="C28" s="434" t="n">
        <f aca="false">C7*C9</f>
        <v>0.782</v>
      </c>
      <c r="D28" s="435" t="n">
        <f aca="false">C28*C21</f>
        <v>0.5865</v>
      </c>
      <c r="E28" s="436" t="s">
        <v>1360</v>
      </c>
      <c r="F28" s="128" t="s">
        <v>1361</v>
      </c>
    </row>
    <row r="29" customFormat="false" ht="24" hidden="false" customHeight="true" outlineLevel="0" collapsed="false">
      <c r="B29" s="113" t="s">
        <v>151</v>
      </c>
      <c r="C29" s="434" t="n">
        <f aca="false">C7*C9</f>
        <v>0.782</v>
      </c>
      <c r="D29" s="435" t="n">
        <f aca="false">C29*C21</f>
        <v>0.5865</v>
      </c>
      <c r="E29" s="436" t="s">
        <v>1360</v>
      </c>
      <c r="F29" s="128" t="s">
        <v>1361</v>
      </c>
    </row>
    <row r="30" customFormat="false" ht="33.75" hidden="false" customHeight="true" outlineLevel="0" collapsed="false">
      <c r="B30" s="113" t="s">
        <v>157</v>
      </c>
      <c r="C30" s="434" t="n">
        <f aca="false">C7*C9</f>
        <v>0.782</v>
      </c>
      <c r="D30" s="435" t="n">
        <f aca="false">C30*C21</f>
        <v>0.5865</v>
      </c>
      <c r="E30" s="436" t="s">
        <v>1360</v>
      </c>
      <c r="F30" s="128" t="s">
        <v>1362</v>
      </c>
    </row>
    <row r="31" customFormat="false" ht="36" hidden="false" customHeight="true" outlineLevel="0" collapsed="false">
      <c r="B31" s="113" t="s">
        <v>143</v>
      </c>
      <c r="C31" s="434" t="n">
        <f aca="false">C7*C8*C9*C13</f>
        <v>0.6331072</v>
      </c>
      <c r="D31" s="435" t="n">
        <f aca="false">C31*C21</f>
        <v>0.4748304</v>
      </c>
      <c r="E31" s="436" t="s">
        <v>1363</v>
      </c>
      <c r="F31" s="128" t="s">
        <v>1364</v>
      </c>
    </row>
    <row r="32" customFormat="false" ht="36" hidden="false" customHeight="true" outlineLevel="0" collapsed="false">
      <c r="B32" s="113" t="s">
        <v>153</v>
      </c>
      <c r="C32" s="434" t="n">
        <f aca="false">C12</f>
        <v>0.75</v>
      </c>
      <c r="D32" s="435" t="n">
        <f aca="false">C32*C21</f>
        <v>0.5625</v>
      </c>
      <c r="E32" s="436" t="s">
        <v>1365</v>
      </c>
      <c r="F32" s="128" t="s">
        <v>1366</v>
      </c>
    </row>
    <row r="33" customFormat="false" ht="24" hidden="false" customHeight="true" outlineLevel="0" collapsed="false">
      <c r="B33" s="113" t="s">
        <v>155</v>
      </c>
      <c r="C33" s="434" t="n">
        <f aca="false">C7*C9</f>
        <v>0.782</v>
      </c>
      <c r="D33" s="435" t="n">
        <f aca="false">C33*C21</f>
        <v>0.5865</v>
      </c>
      <c r="E33" s="436" t="s">
        <v>1360</v>
      </c>
      <c r="F33" s="128" t="s">
        <v>1361</v>
      </c>
    </row>
    <row r="34" customFormat="false" ht="15" hidden="false" customHeight="true" outlineLevel="0" collapsed="false">
      <c r="B34" s="6"/>
      <c r="F34" s="6"/>
    </row>
    <row r="35" customFormat="false" ht="21.75" hidden="false" customHeight="true" outlineLevel="0" collapsed="false">
      <c r="B35" s="43" t="s">
        <v>1367</v>
      </c>
      <c r="C35" s="43"/>
      <c r="D35" s="43"/>
      <c r="E35" s="43"/>
      <c r="F35" s="43"/>
    </row>
    <row r="36" customFormat="false" ht="51" hidden="false" customHeight="true" outlineLevel="0" collapsed="false">
      <c r="B36" s="437" t="s">
        <v>1368</v>
      </c>
      <c r="C36" s="437"/>
      <c r="D36" s="437"/>
      <c r="E36" s="437"/>
      <c r="F36" s="437"/>
    </row>
    <row r="37" customFormat="false" ht="36" hidden="false" customHeight="true" outlineLevel="0" collapsed="false">
      <c r="B37" s="437" t="s">
        <v>1369</v>
      </c>
      <c r="C37" s="437"/>
      <c r="D37" s="437"/>
      <c r="E37" s="437"/>
      <c r="F37" s="437"/>
    </row>
    <row r="38" customFormat="false" ht="36" hidden="false" customHeight="true" outlineLevel="0" collapsed="false">
      <c r="B38" s="437" t="s">
        <v>1370</v>
      </c>
      <c r="C38" s="437"/>
      <c r="D38" s="437"/>
      <c r="E38" s="437"/>
      <c r="F38" s="437"/>
    </row>
    <row r="39" customFormat="false" ht="51" hidden="false" customHeight="true" outlineLevel="0" collapsed="false">
      <c r="B39" s="437" t="s">
        <v>1371</v>
      </c>
      <c r="C39" s="437"/>
      <c r="D39" s="437"/>
      <c r="E39" s="437"/>
      <c r="F39" s="437"/>
    </row>
    <row r="40" customFormat="false" ht="51" hidden="false" customHeight="true" outlineLevel="0" collapsed="false">
      <c r="B40" s="437" t="s">
        <v>1372</v>
      </c>
      <c r="C40" s="437"/>
      <c r="D40" s="437"/>
      <c r="E40" s="437"/>
      <c r="F40" s="437"/>
    </row>
    <row r="41" customFormat="false" ht="36" hidden="false" customHeight="true" outlineLevel="0" collapsed="false">
      <c r="B41" s="437" t="s">
        <v>1373</v>
      </c>
      <c r="C41" s="437"/>
      <c r="D41" s="437"/>
      <c r="E41" s="437"/>
      <c r="F41" s="437"/>
    </row>
    <row r="42" customFormat="false" ht="51" hidden="false" customHeight="true" outlineLevel="0" collapsed="false">
      <c r="B42" s="437" t="s">
        <v>1374</v>
      </c>
      <c r="C42" s="437"/>
      <c r="D42" s="437"/>
      <c r="E42" s="437"/>
      <c r="F42" s="437"/>
    </row>
    <row r="43" customFormat="false" ht="36" hidden="false" customHeight="true" outlineLevel="0" collapsed="false">
      <c r="B43" s="437" t="s">
        <v>1375</v>
      </c>
      <c r="C43" s="437"/>
      <c r="D43" s="437"/>
      <c r="E43" s="437"/>
      <c r="F43" s="437"/>
    </row>
    <row r="44" customFormat="false" ht="15" hidden="false" customHeight="true" outlineLevel="0" collapsed="false">
      <c r="B44" s="6"/>
      <c r="F44" s="6"/>
    </row>
    <row r="45" customFormat="false" ht="15" hidden="false" customHeight="true" outlineLevel="0" collapsed="false">
      <c r="B45" s="6" t="s">
        <v>1376</v>
      </c>
      <c r="C45" s="0" t="n">
        <v>1</v>
      </c>
      <c r="D45" s="0" t="s">
        <v>1377</v>
      </c>
      <c r="F45" s="6"/>
    </row>
  </sheetData>
  <mergeCells count="14">
    <mergeCell ref="B5:F5"/>
    <mergeCell ref="B14:F14"/>
    <mergeCell ref="D17:E17"/>
    <mergeCell ref="B18:F18"/>
    <mergeCell ref="B23:F23"/>
    <mergeCell ref="B35:F35"/>
    <mergeCell ref="B36:F36"/>
    <mergeCell ref="B37:F37"/>
    <mergeCell ref="B38:F38"/>
    <mergeCell ref="B39:F39"/>
    <mergeCell ref="B40:F40"/>
    <mergeCell ref="B41:F41"/>
    <mergeCell ref="B42:F42"/>
    <mergeCell ref="B43:F4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6" min="5" style="0" width="10"/>
    <col collapsed="false" customWidth="true" hidden="false" outlineLevel="0" max="7" min="7" style="0" width="9"/>
    <col collapsed="false" customWidth="true" hidden="false" outlineLevel="0" max="11" min="8" style="0" width="12"/>
  </cols>
  <sheetData>
    <row r="1" customFormat="false" ht="3.75" hidden="false" customHeight="true" outlineLevel="0" collapsed="false">
      <c r="B1" s="1"/>
      <c r="C1" s="2"/>
      <c r="D1" s="2"/>
      <c r="E1" s="1"/>
      <c r="F1" s="2"/>
      <c r="G1" s="2"/>
    </row>
    <row r="2" customFormat="false" ht="27.75" hidden="false" customHeight="true" outlineLevel="0" collapsed="false">
      <c r="B2" s="88" t="s">
        <v>7457</v>
      </c>
      <c r="C2" s="88"/>
      <c r="D2" s="88"/>
      <c r="E2" s="88"/>
      <c r="F2" s="89" t="s">
        <v>995</v>
      </c>
      <c r="G2" s="89"/>
    </row>
    <row r="3" customFormat="false" ht="18" hidden="false" customHeight="true" outlineLevel="0" collapsed="false">
      <c r="B3" s="90" t="s">
        <v>7228</v>
      </c>
      <c r="C3" s="90"/>
      <c r="D3" s="90"/>
      <c r="E3" s="90"/>
      <c r="F3" s="90"/>
      <c r="G3" s="90"/>
    </row>
    <row r="4" customFormat="false" ht="15" hidden="false" customHeight="true" outlineLevel="0" collapsed="false">
      <c r="B4" s="6"/>
      <c r="E4" s="6"/>
    </row>
    <row r="5" customFormat="false" ht="21.75" hidden="false" customHeight="true" outlineLevel="0" collapsed="false">
      <c r="B5" s="96" t="s">
        <v>4374</v>
      </c>
      <c r="C5" s="96"/>
      <c r="D5" s="96"/>
      <c r="E5" s="96"/>
      <c r="F5" s="96"/>
    </row>
    <row r="6" customFormat="false" ht="21.75" hidden="false" customHeight="true" outlineLevel="0" collapsed="false">
      <c r="B6" s="97" t="s">
        <v>206</v>
      </c>
      <c r="C6" s="98" t="s">
        <v>4375</v>
      </c>
      <c r="D6" s="98" t="s">
        <v>4140</v>
      </c>
      <c r="E6" s="99" t="s">
        <v>4141</v>
      </c>
      <c r="F6" s="98" t="s">
        <v>395</v>
      </c>
    </row>
    <row r="7" customFormat="false" ht="15" hidden="false" customHeight="true" outlineLevel="0" collapsed="false">
      <c r="B7" s="113" t="s">
        <v>7458</v>
      </c>
      <c r="C7" s="544" t="n">
        <f aca="false">'Subleasing · Revenue'!E10</f>
        <v>0</v>
      </c>
      <c r="D7" s="1421" t="s">
        <v>7459</v>
      </c>
      <c r="E7" s="1453"/>
      <c r="F7" s="634" t="s">
        <v>7460</v>
      </c>
    </row>
    <row r="8" customFormat="false" ht="15" hidden="false" customHeight="true" outlineLevel="0" collapsed="false">
      <c r="B8" s="113" t="s">
        <v>7461</v>
      </c>
      <c r="C8" s="544" t="n">
        <f aca="false">'Subleasing · Revenue'!E15</f>
        <v>0</v>
      </c>
      <c r="D8" s="1421" t="s">
        <v>6789</v>
      </c>
      <c r="E8" s="1453"/>
      <c r="F8" s="634" t="s">
        <v>7462</v>
      </c>
    </row>
    <row r="9" customFormat="false" ht="15" hidden="false" customHeight="true" outlineLevel="0" collapsed="false">
      <c r="B9" s="113" t="s">
        <v>7463</v>
      </c>
      <c r="C9" s="544" t="n">
        <f aca="false">SUM('Subleasing · Revenue'!E20:E27)</f>
        <v>0</v>
      </c>
      <c r="D9" s="1421" t="s">
        <v>4468</v>
      </c>
      <c r="E9" s="1453"/>
      <c r="F9" s="634" t="s">
        <v>7464</v>
      </c>
    </row>
    <row r="10" customFormat="false" ht="15" hidden="false" customHeight="true" outlineLevel="0" collapsed="false">
      <c r="B10" s="113" t="s">
        <v>7465</v>
      </c>
      <c r="C10" s="1314" t="n">
        <f aca="false">1</f>
        <v>1</v>
      </c>
      <c r="D10" s="1421" t="s">
        <v>7466</v>
      </c>
      <c r="E10" s="1453"/>
      <c r="F10" s="634" t="s">
        <v>7467</v>
      </c>
    </row>
    <row r="11" customFormat="false" ht="15" hidden="false" customHeight="true" outlineLevel="0" collapsed="false">
      <c r="B11" s="113" t="s">
        <v>4070</v>
      </c>
      <c r="C11" s="1288" t="n">
        <f aca="false">'Subleasing · Costs'!C29/'Subleasing · Revenue'!E30</f>
        <v>0.913021806853583</v>
      </c>
      <c r="D11" s="1421" t="s">
        <v>7468</v>
      </c>
      <c r="E11" s="1453"/>
      <c r="F11" s="634" t="s">
        <v>7469</v>
      </c>
    </row>
    <row r="12" customFormat="false" ht="15" hidden="false" customHeight="true" outlineLevel="0" collapsed="false">
      <c r="B12" s="113" t="s">
        <v>7236</v>
      </c>
      <c r="C12" s="544" t="n">
        <f aca="false">'Subleasing · Revenue'!E30/200</f>
        <v>1605</v>
      </c>
      <c r="D12" s="1421" t="s">
        <v>4424</v>
      </c>
      <c r="E12" s="1453"/>
      <c r="F12" s="634" t="s">
        <v>7470</v>
      </c>
    </row>
    <row r="13" customFormat="false" ht="15" hidden="false" customHeight="true" outlineLevel="0" collapsed="false">
      <c r="B13" s="6"/>
      <c r="E13" s="6"/>
    </row>
    <row r="14" customFormat="false" ht="15" hidden="false" customHeight="true" outlineLevel="0" collapsed="false">
      <c r="B14" s="6"/>
      <c r="E14" s="6"/>
    </row>
    <row r="15" customFormat="false" ht="21.75" hidden="false" customHeight="true" outlineLevel="0" collapsed="false">
      <c r="B15" s="72" t="s">
        <v>7239</v>
      </c>
      <c r="C15" s="72"/>
      <c r="D15" s="72"/>
      <c r="E15" s="72"/>
      <c r="F15" s="72"/>
    </row>
    <row r="16" customFormat="false" ht="120" hidden="false" customHeight="true" outlineLevel="0" collapsed="false">
      <c r="B16" s="1398" t="s">
        <v>7471</v>
      </c>
      <c r="C16" s="1398"/>
      <c r="D16" s="1398"/>
      <c r="E16" s="1398"/>
      <c r="F16" s="1398"/>
    </row>
    <row r="17" customFormat="false" ht="15" hidden="false" customHeight="true" outlineLevel="0" collapsed="false">
      <c r="B17" s="1398"/>
      <c r="C17" s="1398"/>
      <c r="D17" s="1398"/>
      <c r="E17" s="1398"/>
      <c r="F17" s="1398"/>
    </row>
    <row r="18" customFormat="false" ht="15" hidden="false" customHeight="true" outlineLevel="0" collapsed="false">
      <c r="B18" s="1398"/>
      <c r="C18" s="1398"/>
      <c r="D18" s="1398"/>
      <c r="E18" s="1398"/>
      <c r="F18" s="1398"/>
    </row>
    <row r="19" customFormat="false" ht="15" hidden="false" customHeight="true" outlineLevel="0" collapsed="false">
      <c r="B19" s="1398"/>
      <c r="C19" s="1398"/>
      <c r="D19" s="1398"/>
      <c r="E19" s="1398"/>
      <c r="F19" s="1398"/>
    </row>
    <row r="20" customFormat="false" ht="15" hidden="false" customHeight="true" outlineLevel="0" collapsed="false">
      <c r="B20" s="1398"/>
      <c r="C20" s="1398"/>
      <c r="D20" s="1398"/>
      <c r="E20" s="1398"/>
      <c r="F20" s="1398"/>
    </row>
    <row r="21" customFormat="false" ht="15" hidden="false" customHeight="true" outlineLevel="0" collapsed="false">
      <c r="B21" s="1398"/>
      <c r="C21" s="1398"/>
      <c r="D21" s="1398"/>
      <c r="E21" s="1398"/>
      <c r="F21" s="1398"/>
    </row>
    <row r="22" customFormat="false" ht="15" hidden="false" customHeight="true" outlineLevel="0" collapsed="false">
      <c r="B22" s="1398"/>
      <c r="C22" s="1398"/>
      <c r="D22" s="1398"/>
      <c r="E22" s="1398"/>
      <c r="F22" s="1398"/>
    </row>
  </sheetData>
  <mergeCells count="6">
    <mergeCell ref="B2:E2"/>
    <mergeCell ref="F2:G2"/>
    <mergeCell ref="B3:G3"/>
    <mergeCell ref="B5:F5"/>
    <mergeCell ref="B15:F15"/>
    <mergeCell ref="B16:F22"/>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C6C6C"/>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1" min="5" style="0" width="9"/>
  </cols>
  <sheetData>
    <row r="1" customFormat="false" ht="3.75" hidden="false" customHeight="true" outlineLevel="0" collapsed="false">
      <c r="B1" s="1"/>
      <c r="C1" s="1"/>
      <c r="D1" s="2"/>
      <c r="E1" s="2"/>
      <c r="F1" s="2"/>
      <c r="G1" s="2"/>
      <c r="H1" s="2"/>
      <c r="I1" s="2"/>
      <c r="J1" s="2"/>
      <c r="K1" s="2"/>
    </row>
    <row r="2" customFormat="false" ht="27.75" hidden="false" customHeight="true" outlineLevel="0" collapsed="false">
      <c r="B2" s="88" t="s">
        <v>7472</v>
      </c>
      <c r="C2" s="88"/>
      <c r="D2" s="88"/>
      <c r="E2" s="88"/>
      <c r="F2" s="88"/>
      <c r="G2" s="88"/>
      <c r="H2" s="89" t="s">
        <v>995</v>
      </c>
      <c r="I2" s="89"/>
      <c r="J2" s="89"/>
      <c r="K2" s="89"/>
    </row>
    <row r="3" customFormat="false" ht="18" hidden="false" customHeight="true" outlineLevel="0" collapsed="false">
      <c r="B3" s="90" t="s">
        <v>6243</v>
      </c>
      <c r="C3" s="90"/>
      <c r="D3" s="90"/>
      <c r="E3" s="90"/>
      <c r="F3" s="90"/>
      <c r="G3" s="90"/>
      <c r="H3" s="90"/>
      <c r="I3" s="90"/>
      <c r="J3" s="90"/>
      <c r="K3" s="90"/>
    </row>
    <row r="4" customFormat="false" ht="15" hidden="false" customHeight="true" outlineLevel="0" collapsed="false">
      <c r="B4" s="6"/>
      <c r="C4" s="6"/>
    </row>
    <row r="5" customFormat="false" ht="33.75" hidden="false" customHeight="true" outlineLevel="0" collapsed="false">
      <c r="B5" s="96" t="s">
        <v>6244</v>
      </c>
      <c r="C5" s="96"/>
      <c r="D5" s="96"/>
      <c r="E5" s="96"/>
      <c r="F5" s="96"/>
      <c r="G5" s="96"/>
      <c r="H5" s="96"/>
      <c r="I5" s="96"/>
      <c r="J5" s="96"/>
      <c r="K5" s="96"/>
    </row>
    <row r="6" customFormat="false" ht="21.75" hidden="false" customHeight="true" outlineLevel="0" collapsed="false">
      <c r="B6" s="97" t="s">
        <v>4477</v>
      </c>
      <c r="C6" s="99" t="s">
        <v>4478</v>
      </c>
      <c r="D6" s="98" t="s">
        <v>86</v>
      </c>
    </row>
    <row r="7" customFormat="false" ht="15" hidden="false" customHeight="true" outlineLevel="0" collapsed="false">
      <c r="B7" s="113" t="s">
        <v>7473</v>
      </c>
      <c r="C7" s="1404" t="n">
        <f aca="false">'Subleasing · Revenue'!E30</f>
        <v>321000</v>
      </c>
      <c r="D7" s="634" t="s">
        <v>6246</v>
      </c>
    </row>
    <row r="8" customFormat="false" ht="15" hidden="false" customHeight="true" outlineLevel="0" collapsed="false">
      <c r="B8" s="113" t="s">
        <v>7474</v>
      </c>
      <c r="C8" s="1404" t="n">
        <f aca="false">'Subleasing · Costs'!C29</f>
        <v>293080</v>
      </c>
      <c r="D8" s="634" t="s">
        <v>6248</v>
      </c>
    </row>
    <row r="9" customFormat="false" ht="15" hidden="false" customHeight="true" outlineLevel="0" collapsed="false">
      <c r="B9" s="113" t="s">
        <v>7475</v>
      </c>
      <c r="C9" s="1404" t="n">
        <f aca="false">'Subleasing · 8-Year'!C11</f>
        <v>256800</v>
      </c>
      <c r="D9" s="634" t="s">
        <v>3457</v>
      </c>
    </row>
    <row r="10" customFormat="false" ht="15" hidden="false" customHeight="true" outlineLevel="0" collapsed="false">
      <c r="B10" s="113" t="s">
        <v>7476</v>
      </c>
      <c r="C10" s="1404" t="n">
        <f aca="false">'Subleasing · 8-Year'!D11</f>
        <v>297567</v>
      </c>
      <c r="D10" s="634" t="s">
        <v>6251</v>
      </c>
    </row>
    <row r="11" customFormat="false" ht="15" hidden="false" customHeight="true" outlineLevel="0" collapsed="false">
      <c r="B11" s="113" t="s">
        <v>7477</v>
      </c>
      <c r="C11" s="1404" t="n">
        <f aca="false">'Subleasing · 8-Year'!E11</f>
        <v>340548.9</v>
      </c>
      <c r="D11" s="634" t="s">
        <v>6253</v>
      </c>
    </row>
    <row r="12" customFormat="false" ht="15" hidden="false" customHeight="true" outlineLevel="0" collapsed="false">
      <c r="B12" s="113" t="s">
        <v>7478</v>
      </c>
      <c r="C12" s="1404" t="n">
        <f aca="false">'Subleasing · 8-Year'!F11</f>
        <v>350765.367</v>
      </c>
      <c r="D12" s="634" t="s">
        <v>137</v>
      </c>
    </row>
    <row r="13" customFormat="false" ht="15" hidden="false" customHeight="true" outlineLevel="0" collapsed="false">
      <c r="B13" s="113" t="s">
        <v>7479</v>
      </c>
      <c r="C13" s="1404" t="n">
        <f aca="false">'Subleasing · 8-Year'!G11</f>
        <v>361288.32801</v>
      </c>
      <c r="D13" s="634" t="s">
        <v>6256</v>
      </c>
    </row>
    <row r="14" customFormat="false" ht="15" hidden="false" customHeight="true" outlineLevel="0" collapsed="false">
      <c r="B14" s="6"/>
      <c r="C14" s="6"/>
    </row>
    <row r="15" customFormat="false" ht="15" hidden="false" customHeight="true" outlineLevel="0" collapsed="false">
      <c r="B15" s="6"/>
      <c r="C15" s="6"/>
    </row>
    <row r="16" customFormat="false" ht="21.75" hidden="false" customHeight="true" outlineLevel="0" collapsed="false">
      <c r="B16" s="72" t="s">
        <v>4495</v>
      </c>
      <c r="C16" s="72"/>
      <c r="D16" s="72"/>
      <c r="E16" s="72"/>
      <c r="F16" s="72"/>
      <c r="G16" s="72"/>
      <c r="H16" s="72"/>
      <c r="I16" s="72"/>
      <c r="J16" s="72"/>
      <c r="K16" s="72"/>
    </row>
    <row r="17" customFormat="false" ht="93.75" hidden="false" customHeight="true" outlineLevel="0" collapsed="false">
      <c r="B17" s="1398" t="s">
        <v>7480</v>
      </c>
      <c r="C17" s="1398"/>
      <c r="D17" s="1398"/>
    </row>
    <row r="18" customFormat="false" ht="15" hidden="false" customHeight="true" outlineLevel="0" collapsed="false">
      <c r="B18" s="1398"/>
      <c r="C18" s="1398"/>
      <c r="D18" s="1398"/>
    </row>
    <row r="19" customFormat="false" ht="15" hidden="false" customHeight="true" outlineLevel="0" collapsed="false">
      <c r="B19" s="1398"/>
      <c r="C19" s="1398"/>
      <c r="D19" s="1398"/>
    </row>
    <row r="20" customFormat="false" ht="15" hidden="false" customHeight="true" outlineLevel="0" collapsed="false">
      <c r="B20" s="1398"/>
      <c r="C20" s="1398"/>
      <c r="D20" s="1398"/>
    </row>
    <row r="21" customFormat="false" ht="15" hidden="false" customHeight="true" outlineLevel="0" collapsed="false">
      <c r="B21" s="1398"/>
      <c r="C21" s="1398"/>
      <c r="D21" s="1398"/>
    </row>
    <row r="22" customFormat="false" ht="15" hidden="false" customHeight="true" outlineLevel="0" collapsed="false">
      <c r="B22" s="6"/>
      <c r="C22" s="6"/>
    </row>
    <row r="23" customFormat="false" ht="21.75" hidden="false" customHeight="true" outlineLevel="0" collapsed="false">
      <c r="B23" s="304" t="s">
        <v>6258</v>
      </c>
      <c r="C23" s="304"/>
      <c r="D23" s="304"/>
      <c r="E23" s="304"/>
      <c r="F23" s="304"/>
      <c r="G23" s="304"/>
      <c r="H23" s="304"/>
      <c r="I23" s="304"/>
      <c r="J23" s="304"/>
      <c r="K23" s="304"/>
    </row>
    <row r="24" customFormat="false" ht="108.75" hidden="false" customHeight="true" outlineLevel="0" collapsed="false">
      <c r="B24" s="85" t="s">
        <v>6259</v>
      </c>
      <c r="C24" s="85"/>
      <c r="D24" s="85"/>
    </row>
    <row r="25" customFormat="false" ht="15" hidden="false" customHeight="true" outlineLevel="0" collapsed="false">
      <c r="B25" s="85"/>
      <c r="C25" s="85"/>
      <c r="D25" s="85"/>
    </row>
    <row r="26" customFormat="false" ht="15" hidden="false" customHeight="true" outlineLevel="0" collapsed="false">
      <c r="B26" s="85"/>
      <c r="C26" s="85"/>
      <c r="D26" s="85"/>
    </row>
  </sheetData>
  <mergeCells count="8">
    <mergeCell ref="B2:G2"/>
    <mergeCell ref="H2:K2"/>
    <mergeCell ref="B3:K3"/>
    <mergeCell ref="B5:K5"/>
    <mergeCell ref="B16:K16"/>
    <mergeCell ref="B17:D21"/>
    <mergeCell ref="B23:K23"/>
    <mergeCell ref="B24:D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15" t="s">
        <v>7481</v>
      </c>
      <c r="C2" s="15"/>
      <c r="D2" s="15"/>
      <c r="E2" s="15"/>
      <c r="F2" s="15"/>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'F&amp;B · Revenue'!E29</f>
        <v>789714.3</v>
      </c>
      <c r="D7" s="1155" t="n">
        <f aca="false">'F&amp;B · Costs'!C30</f>
        <v>579443.776</v>
      </c>
      <c r="E7" s="577" t="n">
        <f aca="false">'F&amp;B · Costs'!C43</f>
        <v>210270.524</v>
      </c>
      <c r="F7" s="1156" t="n">
        <f aca="false">'F&amp;B · Costs'!C43/'F&amp;B · Revenue'!E29</f>
        <v>0.266261512549538</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'F&amp;B · Revenue'!E29*I9</f>
        <v>789714.3</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26" t="s">
        <v>7482</v>
      </c>
      <c r="C13" s="1161" t="n">
        <f aca="false">'F&amp;B · Revenue'!E10</f>
        <v>382554.3</v>
      </c>
      <c r="D13" s="572" t="n">
        <f aca="false">C13/'F&amp;B · Revenue'!E29</f>
        <v>0.484421138125522</v>
      </c>
      <c r="E13" s="314"/>
      <c r="F13" s="314"/>
      <c r="G13" s="314"/>
      <c r="H13" s="314"/>
      <c r="I13" s="314"/>
      <c r="J13" s="314"/>
    </row>
    <row r="14" customFormat="false" ht="15" hidden="false" customHeight="true" outlineLevel="0" collapsed="false">
      <c r="A14" s="314"/>
      <c r="B14" s="1160" t="s">
        <v>7483</v>
      </c>
      <c r="C14" s="1161" t="n">
        <f aca="false">'F&amp;B · Revenue'!E16</f>
        <v>13800</v>
      </c>
      <c r="D14" s="572" t="n">
        <f aca="false">C14/'F&amp;B · Revenue'!E29</f>
        <v>0.0174746740688373</v>
      </c>
      <c r="E14" s="314"/>
      <c r="F14" s="314"/>
      <c r="G14" s="314"/>
      <c r="H14" s="314"/>
      <c r="I14" s="314"/>
      <c r="J14" s="314"/>
    </row>
    <row r="15" customFormat="false" ht="21.75" hidden="false" customHeight="true" outlineLevel="0" collapsed="false">
      <c r="A15" s="314"/>
      <c r="B15" s="126" t="s">
        <v>7484</v>
      </c>
      <c r="C15" s="1161" t="n">
        <f aca="false">'F&amp;B · Revenue'!E21</f>
        <v>252000</v>
      </c>
      <c r="D15" s="572" t="n">
        <f aca="false">C15/'F&amp;B · Revenue'!E29</f>
        <v>0.319102743865725</v>
      </c>
      <c r="E15" s="314"/>
      <c r="F15" s="314"/>
      <c r="G15" s="314"/>
      <c r="H15" s="314"/>
      <c r="I15" s="314"/>
      <c r="J15" s="314"/>
    </row>
    <row r="16" customFormat="false" ht="18" hidden="false" customHeight="true" outlineLevel="0" collapsed="false">
      <c r="A16" s="314"/>
      <c r="B16" s="1160" t="s">
        <v>7485</v>
      </c>
      <c r="C16" s="1161" t="n">
        <f aca="false">'F&amp;B · Revenue'!E26</f>
        <v>12000</v>
      </c>
      <c r="D16" s="572" t="n">
        <f aca="false">C16/'F&amp;B · Revenue'!E29</f>
        <v>0.0151953687555107</v>
      </c>
      <c r="E16" s="314"/>
      <c r="F16" s="314"/>
      <c r="G16" s="314"/>
      <c r="H16" s="314"/>
      <c r="I16" s="314"/>
      <c r="J16" s="314"/>
    </row>
    <row r="17" customFormat="false" ht="18" hidden="false" customHeight="true" outlineLevel="0" collapsed="false">
      <c r="A17" s="314"/>
      <c r="B17" s="1160" t="s">
        <v>7486</v>
      </c>
      <c r="C17" s="1161" t="n">
        <f aca="false">'F&amp;B · Revenue'!E48</f>
        <v>129360</v>
      </c>
      <c r="D17" s="572" t="n">
        <f aca="false">C17/'F&amp;B · Revenue'!E29</f>
        <v>0.163806075184405</v>
      </c>
      <c r="E17" s="314"/>
      <c r="F17" s="314"/>
      <c r="G17" s="314"/>
      <c r="H17" s="314"/>
      <c r="I17" s="314"/>
      <c r="J17" s="314"/>
    </row>
    <row r="18" customFormat="false" ht="24" hidden="false" customHeight="true" outlineLevel="0" collapsed="false">
      <c r="A18" s="314"/>
      <c r="B18" s="117" t="s">
        <v>3455</v>
      </c>
      <c r="C18" s="546" t="n">
        <f aca="false">'F&amp;B · Revenue'!E29</f>
        <v>789714.3</v>
      </c>
      <c r="D18" s="1162" t="n">
        <v>1</v>
      </c>
      <c r="E18" s="314"/>
      <c r="F18" s="314"/>
      <c r="G18" s="314"/>
      <c r="H18" s="314"/>
      <c r="I18" s="314"/>
      <c r="J18" s="314"/>
    </row>
    <row r="19" customFormat="false" ht="18" hidden="false" customHeight="true" outlineLevel="0" collapsed="false">
      <c r="A19" s="314"/>
      <c r="B19" s="317"/>
      <c r="C19" s="317"/>
      <c r="D19" s="317"/>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8" hidden="false" customHeight="true" outlineLevel="0" collapsed="false">
      <c r="A21" s="314"/>
      <c r="B21" s="317"/>
      <c r="C21" s="317"/>
      <c r="D21" s="317"/>
      <c r="E21" s="314"/>
      <c r="F21" s="314"/>
      <c r="G21" s="314"/>
      <c r="H21" s="314"/>
      <c r="I21" s="314"/>
      <c r="J21" s="314"/>
    </row>
    <row r="22" customFormat="false" ht="15"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21.75" hidden="false" customHeight="true" outlineLevel="0" collapsed="false">
      <c r="A24" s="314"/>
      <c r="B24" s="113" t="s">
        <v>3457</v>
      </c>
      <c r="C24" s="1161" t="n">
        <f aca="false">'F&amp;B · 8-Year'!C11</f>
        <v>631771.44</v>
      </c>
      <c r="D24" s="317"/>
      <c r="E24" s="314"/>
      <c r="F24" s="314"/>
      <c r="G24" s="314"/>
      <c r="H24" s="314"/>
      <c r="I24" s="314"/>
      <c r="J24" s="314"/>
    </row>
    <row r="25" customFormat="false" ht="15" hidden="false" customHeight="true" outlineLevel="0" collapsed="false">
      <c r="A25" s="314"/>
      <c r="B25" s="113" t="s">
        <v>3458</v>
      </c>
      <c r="C25" s="1161" t="n">
        <f aca="false">'F&amp;B · 8-Year'!F11</f>
        <v>789714.3</v>
      </c>
      <c r="D25" s="317"/>
      <c r="E25" s="314"/>
      <c r="F25" s="314"/>
      <c r="G25" s="314"/>
      <c r="H25" s="314"/>
      <c r="I25" s="314"/>
      <c r="J25" s="314"/>
    </row>
    <row r="26" customFormat="false" ht="15" hidden="false" customHeight="true" outlineLevel="0" collapsed="false">
      <c r="A26" s="314"/>
      <c r="B26" s="113" t="s">
        <v>3459</v>
      </c>
      <c r="C26" s="1161" t="n">
        <f aca="false">'F&amp;B · 8-Year'!J11</f>
        <v>959902.667364375</v>
      </c>
      <c r="D26" s="317"/>
      <c r="E26" s="314"/>
      <c r="F26" s="314"/>
      <c r="G26" s="314"/>
      <c r="H26" s="314"/>
      <c r="I26" s="314"/>
      <c r="J26" s="314"/>
    </row>
    <row r="27" customFormat="false" ht="15" hidden="false" customHeight="true" outlineLevel="0" collapsed="false">
      <c r="A27" s="314"/>
      <c r="B27" s="81" t="s">
        <v>3460</v>
      </c>
      <c r="C27" s="782" t="n">
        <f aca="false">'F&amp;B · 8-Year'!C25</f>
        <v>6495898.62465188</v>
      </c>
      <c r="D27" s="317"/>
      <c r="E27" s="314"/>
      <c r="F27" s="314"/>
      <c r="G27" s="314"/>
      <c r="H27" s="314"/>
      <c r="I27" s="314"/>
      <c r="J27" s="314"/>
    </row>
    <row r="28" customFormat="false" ht="21.75" hidden="false" customHeight="true" outlineLevel="0" collapsed="false">
      <c r="A28" s="314"/>
      <c r="B28" s="81" t="s">
        <v>3461</v>
      </c>
      <c r="C28" s="1163" t="n">
        <f aca="false">'F&amp;B · 8-Year'!C26</f>
        <v>1781904.04256172</v>
      </c>
      <c r="D28" s="317"/>
      <c r="E28" s="314"/>
      <c r="F28" s="314"/>
      <c r="G28" s="314"/>
      <c r="H28" s="314"/>
      <c r="I28" s="314"/>
      <c r="J28" s="314"/>
    </row>
    <row r="29" customFormat="false" ht="21.75" hidden="false" customHeight="true" outlineLevel="0" collapsed="false">
      <c r="A29" s="314"/>
      <c r="B29" s="1164" t="s">
        <v>3462</v>
      </c>
      <c r="C29" s="1165" t="n">
        <f aca="false">('F&amp;B · 8-Year'!J11/'F&amp;B · 8-Year'!C11)^(1/7)-1</f>
        <v>0.0615793414257166</v>
      </c>
      <c r="D29" s="317"/>
      <c r="E29" s="314"/>
      <c r="F29" s="314"/>
      <c r="G29" s="314"/>
      <c r="H29" s="314"/>
      <c r="I29" s="314"/>
      <c r="J29" s="314"/>
    </row>
    <row r="30" customFormat="false" ht="93.75" hidden="false" customHeight="true" outlineLevel="0" collapsed="false">
      <c r="A30" s="314"/>
      <c r="B30" s="907" t="s">
        <v>3463</v>
      </c>
      <c r="C30" s="317"/>
      <c r="D30" s="317"/>
      <c r="E30" s="314"/>
      <c r="F30" s="314"/>
      <c r="G30" s="314"/>
      <c r="H30" s="314"/>
      <c r="I30" s="314"/>
      <c r="J30" s="314"/>
    </row>
    <row r="31" customFormat="false" ht="21.75" hidden="false" customHeight="true" outlineLevel="0" collapsed="false">
      <c r="A31" s="314"/>
      <c r="B31" s="96" t="s">
        <v>4504</v>
      </c>
      <c r="C31" s="96"/>
      <c r="D31" s="96"/>
      <c r="E31" s="96"/>
      <c r="F31" s="96"/>
      <c r="G31" s="96"/>
      <c r="H31" s="96"/>
      <c r="I31" s="96"/>
      <c r="J31" s="314"/>
    </row>
    <row r="32" customFormat="false" ht="21.75" hidden="false" customHeight="true" outlineLevel="0" collapsed="false">
      <c r="A32" s="314"/>
      <c r="B32" s="97" t="s">
        <v>3465</v>
      </c>
      <c r="C32" s="319" t="s">
        <v>3466</v>
      </c>
      <c r="D32" s="319"/>
      <c r="E32" s="319"/>
      <c r="F32" s="319"/>
      <c r="G32" s="319"/>
      <c r="H32" s="319"/>
      <c r="I32" s="314"/>
      <c r="J32" s="314"/>
    </row>
    <row r="33" customFormat="false" ht="48.75" hidden="false" customHeight="true" outlineLevel="0" collapsed="false">
      <c r="A33" s="314"/>
      <c r="B33" s="1160" t="s">
        <v>4505</v>
      </c>
      <c r="C33" s="134" t="s">
        <v>4506</v>
      </c>
      <c r="D33" s="134"/>
      <c r="E33" s="134"/>
      <c r="F33" s="134"/>
      <c r="G33" s="134"/>
      <c r="H33" s="134"/>
      <c r="I33" s="314"/>
      <c r="J33" s="314"/>
    </row>
    <row r="34" customFormat="false" ht="48.75" hidden="false" customHeight="true" outlineLevel="0" collapsed="false">
      <c r="A34" s="314"/>
      <c r="B34" s="1160" t="s">
        <v>4507</v>
      </c>
      <c r="C34" s="134" t="s">
        <v>4508</v>
      </c>
      <c r="D34" s="134"/>
      <c r="E34" s="134"/>
      <c r="F34" s="134"/>
      <c r="G34" s="134"/>
      <c r="H34" s="134"/>
      <c r="I34" s="314"/>
      <c r="J34" s="314"/>
    </row>
    <row r="35" customFormat="false" ht="63.75" hidden="false" customHeight="true" outlineLevel="0" collapsed="false">
      <c r="B35" s="1160" t="s">
        <v>2487</v>
      </c>
      <c r="C35" s="134" t="s">
        <v>4509</v>
      </c>
      <c r="D35" s="134"/>
      <c r="E35" s="134"/>
      <c r="F35" s="134"/>
      <c r="G35" s="134"/>
      <c r="H35" s="134"/>
    </row>
    <row r="36" customFormat="false" ht="63.75" hidden="false" customHeight="true" outlineLevel="0" collapsed="false">
      <c r="B36" s="1160" t="s">
        <v>4510</v>
      </c>
      <c r="C36" s="134" t="s">
        <v>4511</v>
      </c>
      <c r="D36" s="134"/>
      <c r="E36" s="134"/>
      <c r="F36" s="134"/>
      <c r="G36" s="134"/>
      <c r="H36" s="134"/>
    </row>
    <row r="37" customFormat="false" ht="63.75" hidden="false" customHeight="true" outlineLevel="0" collapsed="false">
      <c r="B37" s="1160" t="s">
        <v>4512</v>
      </c>
      <c r="C37" s="134" t="s">
        <v>4513</v>
      </c>
      <c r="D37" s="134"/>
      <c r="E37" s="134"/>
      <c r="F37" s="134"/>
      <c r="G37" s="134"/>
      <c r="H37" s="134"/>
    </row>
    <row r="38" customFormat="false" ht="48.75" hidden="false" customHeight="true" outlineLevel="0" collapsed="false">
      <c r="B38" s="1160" t="s">
        <v>4514</v>
      </c>
      <c r="C38" s="134" t="s">
        <v>4515</v>
      </c>
      <c r="D38" s="134"/>
      <c r="E38" s="134"/>
      <c r="F38" s="134"/>
      <c r="G38" s="134"/>
      <c r="H38" s="134"/>
    </row>
    <row r="39" customFormat="false" ht="63.75" hidden="false" customHeight="true" outlineLevel="0" collapsed="false">
      <c r="B39" s="1160" t="s">
        <v>4516</v>
      </c>
      <c r="C39" s="134" t="s">
        <v>3480</v>
      </c>
      <c r="D39" s="134"/>
      <c r="E39" s="134"/>
      <c r="F39" s="134"/>
      <c r="G39" s="134"/>
      <c r="H39" s="134"/>
    </row>
    <row r="40" customFormat="false" ht="48.75" hidden="false" customHeight="true" outlineLevel="0" collapsed="false">
      <c r="B40" s="1160" t="s">
        <v>4517</v>
      </c>
      <c r="C40" s="134" t="s">
        <v>4518</v>
      </c>
      <c r="D40" s="134"/>
      <c r="E40" s="134"/>
      <c r="F40" s="134"/>
      <c r="G40" s="134"/>
      <c r="H40" s="13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618</v>
      </c>
      <c r="D52" s="99" t="s">
        <v>4531</v>
      </c>
      <c r="E52" s="98" t="s">
        <v>7487</v>
      </c>
      <c r="F52" s="98" t="s">
        <v>778</v>
      </c>
    </row>
    <row r="53" customFormat="false" ht="15" hidden="false" customHeight="true" outlineLevel="0" collapsed="false">
      <c r="B53" s="113" t="s">
        <v>3502</v>
      </c>
      <c r="C53" s="1161" t="n">
        <f aca="false">'F&amp;B · Revenue'!E29</f>
        <v>789714.3</v>
      </c>
      <c r="D53" s="386" t="n">
        <f aca="false">SUM('Master Revenue'!D7:D15)</f>
        <v>6672022.15</v>
      </c>
      <c r="E53" s="1166" t="n">
        <f aca="false">C53/D53</f>
        <v>0.118362062092375</v>
      </c>
      <c r="F53" s="107" t="s">
        <v>4533</v>
      </c>
    </row>
    <row r="54" customFormat="false" ht="15" hidden="false" customHeight="true" outlineLevel="0" collapsed="false">
      <c r="B54" s="113" t="s">
        <v>3504</v>
      </c>
      <c r="C54" s="1161" t="n">
        <f aca="false">'F&amp;B · Costs'!C43</f>
        <v>210270.524</v>
      </c>
      <c r="D54" s="386" t="n">
        <f aca="false">SUM('Master Cost'!I7:I15)</f>
        <v>4022722.921025</v>
      </c>
      <c r="E54" s="1166" t="n">
        <f aca="false">C54/D54</f>
        <v>0.0522706952798088</v>
      </c>
      <c r="F54" s="107" t="s">
        <v>4534</v>
      </c>
    </row>
    <row r="55" customFormat="false" ht="15" hidden="false" customHeight="true" outlineLevel="0" collapsed="false">
      <c r="B55" s="113" t="s">
        <v>3460</v>
      </c>
      <c r="C55" s="1161" t="n">
        <f aca="false">'F&amp;B · 8-Year'!C25</f>
        <v>6495898.62465188</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800000</v>
      </c>
      <c r="D59" s="134" t="s">
        <v>4538</v>
      </c>
      <c r="E59" s="134"/>
      <c r="F59" s="134"/>
      <c r="G59" s="134"/>
      <c r="H59" s="134"/>
    </row>
    <row r="60" customFormat="false" ht="15" hidden="false" customHeight="true" outlineLevel="0" collapsed="false">
      <c r="B60" s="126" t="s">
        <v>3511</v>
      </c>
      <c r="C60" s="1161" t="n">
        <f aca="false">SUM('F&amp;B · Cash Flow'!C29:J29)</f>
        <v>1584005.55850561</v>
      </c>
      <c r="D60" s="134" t="s">
        <v>3512</v>
      </c>
      <c r="E60" s="134"/>
      <c r="F60" s="134"/>
      <c r="G60" s="134"/>
      <c r="H60" s="134"/>
    </row>
    <row r="61" customFormat="false" ht="15" hidden="false" customHeight="true" outlineLevel="0" collapsed="false">
      <c r="B61" s="113" t="s">
        <v>3513</v>
      </c>
      <c r="C61" s="1161" t="n">
        <f aca="false">'F&amp;B · Cash Flow'!F29</f>
        <v>186579.095</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4.28772580336506</v>
      </c>
      <c r="D63" s="134" t="s">
        <v>3516</v>
      </c>
      <c r="E63" s="134"/>
      <c r="F63" s="134"/>
      <c r="G63" s="134"/>
      <c r="H63" s="134"/>
    </row>
    <row r="64" customFormat="false" ht="15" hidden="false" customHeight="true" outlineLevel="0" collapsed="false">
      <c r="B64" s="113" t="s">
        <v>3517</v>
      </c>
      <c r="C64" s="1169" t="n">
        <f aca="false">C61/C59</f>
        <v>0.23322386875</v>
      </c>
      <c r="D64" s="134" t="s">
        <v>3518</v>
      </c>
      <c r="E64" s="134"/>
      <c r="F64" s="134"/>
      <c r="G64" s="134"/>
      <c r="H64" s="134"/>
    </row>
    <row r="65" customFormat="false" ht="15" hidden="false" customHeight="true" outlineLevel="0" collapsed="false">
      <c r="B65" s="113" t="s">
        <v>3519</v>
      </c>
      <c r="C65" s="1170" t="n">
        <f aca="false">(C60+C59)/C59</f>
        <v>2.98000694813201</v>
      </c>
      <c r="D65" s="134" t="s">
        <v>3520</v>
      </c>
      <c r="E65" s="134"/>
      <c r="F65" s="134"/>
      <c r="G65" s="134"/>
      <c r="H65" s="134"/>
    </row>
    <row r="66" customFormat="false" ht="15" hidden="false" customHeight="true" outlineLevel="0" collapsed="false">
      <c r="B66" s="113" t="s">
        <v>3523</v>
      </c>
      <c r="C66" s="1169" t="n">
        <f aca="false">C60/C59</f>
        <v>1.98000694813201</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63.75" hidden="false" customHeight="true" outlineLevel="0" collapsed="false">
      <c r="B70" s="1171" t="s">
        <v>7488</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1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8" min="6" style="0" width="28"/>
    <col collapsed="false" customWidth="true" hidden="false" outlineLevel="0" max="10" min="9" style="0" width="9"/>
    <col collapsed="false" customWidth="true" hidden="false" outlineLevel="0" max="11" min="11" style="0" width="12"/>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7489</v>
      </c>
      <c r="C2" s="878"/>
      <c r="D2" s="878"/>
      <c r="E2" s="878"/>
      <c r="F2" s="878"/>
      <c r="G2" s="89" t="s">
        <v>3432</v>
      </c>
      <c r="H2" s="89"/>
      <c r="I2" s="89"/>
      <c r="J2" s="89"/>
    </row>
    <row r="3" customFormat="false" ht="48.75" hidden="false" customHeight="true" outlineLevel="0" collapsed="false">
      <c r="B3" s="90" t="s">
        <v>7490</v>
      </c>
      <c r="C3" s="90"/>
      <c r="D3" s="90"/>
      <c r="E3" s="90"/>
      <c r="F3" s="90"/>
      <c r="G3" s="90"/>
      <c r="H3" s="90"/>
      <c r="I3" s="90"/>
      <c r="J3" s="90"/>
    </row>
    <row r="4" customFormat="false" ht="19.5" hidden="false" customHeight="true" outlineLevel="0" collapsed="false">
      <c r="B4" s="6"/>
      <c r="E4" s="6"/>
      <c r="G4" s="367" t="s">
        <v>4543</v>
      </c>
      <c r="H4" s="367"/>
    </row>
    <row r="5" customFormat="false" ht="33.75" hidden="false" customHeight="true" outlineLevel="0" collapsed="false">
      <c r="B5" s="96" t="s">
        <v>7491</v>
      </c>
      <c r="C5" s="96"/>
      <c r="D5" s="96"/>
      <c r="E5" s="96"/>
      <c r="G5" s="919" t="str">
        <f aca="false">PROPER('F&amp;B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13" t="s">
        <v>7492</v>
      </c>
      <c r="C7" s="923" t="n">
        <v>0.272</v>
      </c>
      <c r="D7" s="924" t="n">
        <v>0.32</v>
      </c>
      <c r="E7" s="925" t="n">
        <v>0.352</v>
      </c>
      <c r="H7" s="565" t="s">
        <v>7493</v>
      </c>
    </row>
    <row r="8" customFormat="false" ht="16.5" hidden="false" customHeight="true" outlineLevel="0" collapsed="false">
      <c r="B8" s="126" t="s">
        <v>7494</v>
      </c>
      <c r="C8" s="1424" t="n">
        <v>3.6125</v>
      </c>
      <c r="D8" s="1425" t="n">
        <v>4.25</v>
      </c>
      <c r="E8" s="1426" t="n">
        <v>4.675</v>
      </c>
      <c r="H8" s="565" t="s">
        <v>7495</v>
      </c>
    </row>
    <row r="9" customFormat="false" ht="16.5" hidden="false" customHeight="true" outlineLevel="0" collapsed="false">
      <c r="B9" s="126" t="s">
        <v>7496</v>
      </c>
      <c r="C9" s="1424" t="n">
        <v>0.75</v>
      </c>
      <c r="D9" s="1425" t="n">
        <v>0.5</v>
      </c>
      <c r="E9" s="1426" t="n">
        <v>0.55</v>
      </c>
      <c r="H9" s="565" t="s">
        <v>7497</v>
      </c>
    </row>
    <row r="10" customFormat="false" ht="16.5" hidden="false" customHeight="true" outlineLevel="0" collapsed="false">
      <c r="B10" s="126" t="s">
        <v>7498</v>
      </c>
      <c r="C10" s="923" t="n">
        <v>0.357</v>
      </c>
      <c r="D10" s="924" t="n">
        <v>0.42</v>
      </c>
      <c r="E10" s="925" t="n">
        <v>0.462</v>
      </c>
      <c r="H10" s="565" t="s">
        <v>7499</v>
      </c>
    </row>
    <row r="11" customFormat="false" ht="16.5" hidden="false" customHeight="true" outlineLevel="0" collapsed="false">
      <c r="B11" s="126" t="s">
        <v>7500</v>
      </c>
      <c r="C11" s="1424" t="n">
        <v>2.87</v>
      </c>
      <c r="D11" s="1425" t="n">
        <v>3.5</v>
      </c>
      <c r="E11" s="1426" t="n">
        <v>3.85</v>
      </c>
      <c r="H11" s="565" t="s">
        <v>7501</v>
      </c>
    </row>
    <row r="12" customFormat="false" ht="16.5" hidden="false" customHeight="true" outlineLevel="0" collapsed="false">
      <c r="B12" s="126" t="s">
        <v>7502</v>
      </c>
      <c r="C12" s="1172" t="n">
        <v>4.92</v>
      </c>
      <c r="D12" s="1173" t="n">
        <v>6</v>
      </c>
      <c r="E12" s="1174" t="n">
        <v>6.6</v>
      </c>
      <c r="H12" s="565" t="s">
        <v>7503</v>
      </c>
    </row>
    <row r="13" customFormat="false" ht="16.5" hidden="false" customHeight="true" outlineLevel="0" collapsed="false">
      <c r="B13" s="113" t="s">
        <v>7504</v>
      </c>
      <c r="C13" s="923" t="n">
        <v>0.612</v>
      </c>
      <c r="D13" s="924" t="n">
        <v>0.72</v>
      </c>
      <c r="E13" s="925" t="n">
        <v>0.792</v>
      </c>
      <c r="F13" s="0" t="s">
        <v>7505</v>
      </c>
      <c r="H13" s="565" t="s">
        <v>7506</v>
      </c>
    </row>
    <row r="14" customFormat="false" ht="16.5" hidden="false" customHeight="true" outlineLevel="0" collapsed="false">
      <c r="B14" s="126" t="s">
        <v>7507</v>
      </c>
      <c r="C14" s="927" t="n">
        <v>8.2</v>
      </c>
      <c r="D14" s="928" t="n">
        <v>10</v>
      </c>
      <c r="E14" s="929" t="n">
        <v>11</v>
      </c>
      <c r="F14" s="0" t="s">
        <v>7508</v>
      </c>
      <c r="H14" s="565" t="s">
        <v>7509</v>
      </c>
    </row>
    <row r="15" customFormat="false" ht="15" hidden="false" customHeight="true" outlineLevel="0" collapsed="false">
      <c r="B15" s="6"/>
      <c r="E15" s="6"/>
    </row>
    <row r="16" customFormat="false" ht="16.5" hidden="false" customHeight="true" outlineLevel="0" collapsed="false">
      <c r="B16" s="126" t="s">
        <v>7510</v>
      </c>
      <c r="C16" s="1172" t="n">
        <v>3</v>
      </c>
      <c r="D16" s="1173" t="n">
        <v>2</v>
      </c>
      <c r="E16" s="1174" t="n">
        <v>2.2</v>
      </c>
      <c r="H16" s="565" t="s">
        <v>7511</v>
      </c>
    </row>
    <row r="17" customFormat="false" ht="16.5" hidden="false" customHeight="true" outlineLevel="0" collapsed="false">
      <c r="B17" s="126" t="s">
        <v>7512</v>
      </c>
      <c r="C17" s="927" t="n">
        <v>328</v>
      </c>
      <c r="D17" s="928" t="n">
        <v>400</v>
      </c>
      <c r="E17" s="929" t="n">
        <v>440</v>
      </c>
      <c r="H17" s="565" t="s">
        <v>7513</v>
      </c>
    </row>
    <row r="18" customFormat="false" ht="16.5" hidden="false" customHeight="true" outlineLevel="0" collapsed="false">
      <c r="B18" s="126" t="s">
        <v>7514</v>
      </c>
      <c r="C18" s="1172" t="n">
        <v>2</v>
      </c>
      <c r="D18" s="1173" t="n">
        <v>1</v>
      </c>
      <c r="E18" s="1174" t="n">
        <v>1.1</v>
      </c>
      <c r="H18" s="565" t="s">
        <v>7515</v>
      </c>
    </row>
    <row r="19" customFormat="false" ht="16.5" hidden="false" customHeight="true" outlineLevel="0" collapsed="false">
      <c r="B19" s="126" t="s">
        <v>7516</v>
      </c>
      <c r="C19" s="927" t="n">
        <v>287</v>
      </c>
      <c r="D19" s="928" t="n">
        <v>350</v>
      </c>
      <c r="E19" s="929" t="n">
        <v>385</v>
      </c>
      <c r="H19" s="565" t="s">
        <v>7517</v>
      </c>
    </row>
    <row r="20" customFormat="false" ht="15" hidden="false" customHeight="true" outlineLevel="0" collapsed="false">
      <c r="B20" s="6"/>
      <c r="E20" s="6"/>
    </row>
    <row r="21" customFormat="false" ht="16.5" hidden="false" customHeight="true" outlineLevel="0" collapsed="false">
      <c r="B21" s="126" t="s">
        <v>7518</v>
      </c>
      <c r="C21" s="1172" t="n">
        <v>1</v>
      </c>
      <c r="D21" s="1173" t="n">
        <v>1</v>
      </c>
      <c r="E21" s="1174" t="n">
        <v>1.1</v>
      </c>
      <c r="H21" s="565" t="s">
        <v>7519</v>
      </c>
    </row>
    <row r="22" customFormat="false" ht="16.5" hidden="false" customHeight="true" outlineLevel="0" collapsed="false">
      <c r="B22" s="126" t="s">
        <v>7520</v>
      </c>
      <c r="C22" s="1172" t="n">
        <v>40</v>
      </c>
      <c r="D22" s="1173" t="n">
        <v>40</v>
      </c>
      <c r="E22" s="1174" t="n">
        <v>44</v>
      </c>
      <c r="H22" s="565" t="s">
        <v>7521</v>
      </c>
    </row>
    <row r="23" customFormat="false" ht="16.5" hidden="false" customHeight="true" outlineLevel="0" collapsed="false">
      <c r="B23" s="126" t="s">
        <v>7522</v>
      </c>
      <c r="C23" s="927" t="n">
        <v>20.5</v>
      </c>
      <c r="D23" s="928" t="n">
        <v>25</v>
      </c>
      <c r="E23" s="929" t="n">
        <v>27.5</v>
      </c>
      <c r="H23" s="565" t="s">
        <v>7523</v>
      </c>
    </row>
    <row r="24" customFormat="false" ht="6" hidden="false" customHeight="true" outlineLevel="0" collapsed="false">
      <c r="B24" s="6"/>
      <c r="E24" s="6"/>
    </row>
    <row r="25" customFormat="false" ht="33.75" hidden="false" customHeight="true" outlineLevel="0" collapsed="false">
      <c r="B25" s="555" t="s">
        <v>7524</v>
      </c>
      <c r="C25" s="555"/>
      <c r="D25" s="555"/>
      <c r="E25" s="555"/>
      <c r="F25" s="555"/>
      <c r="G25" s="555"/>
      <c r="H25" s="555"/>
    </row>
    <row r="26" customFormat="false" ht="16.5" hidden="false" customHeight="true" outlineLevel="0" collapsed="false">
      <c r="B26" s="126" t="s">
        <v>6977</v>
      </c>
      <c r="C26" s="1443" t="n">
        <v>46800</v>
      </c>
      <c r="D26" s="1269" t="s">
        <v>6978</v>
      </c>
      <c r="E26" s="6"/>
      <c r="H26" s="565" t="s">
        <v>7525</v>
      </c>
    </row>
    <row r="27" customFormat="false" ht="16.5" hidden="false" customHeight="true" outlineLevel="0" collapsed="false">
      <c r="B27" s="126" t="s">
        <v>7526</v>
      </c>
      <c r="C27" s="1443" t="n">
        <v>77760</v>
      </c>
      <c r="D27" s="1269" t="s">
        <v>6978</v>
      </c>
      <c r="E27" s="6"/>
      <c r="H27" s="565" t="s">
        <v>7527</v>
      </c>
    </row>
    <row r="28" customFormat="false" ht="16.5" hidden="false" customHeight="true" outlineLevel="0" collapsed="false">
      <c r="B28" s="126" t="s">
        <v>6980</v>
      </c>
      <c r="C28" s="1443" t="n">
        <v>195</v>
      </c>
      <c r="D28" s="1269" t="s">
        <v>6978</v>
      </c>
      <c r="E28" s="6"/>
      <c r="H28" s="565" t="s">
        <v>6981</v>
      </c>
    </row>
    <row r="29" customFormat="false" ht="16.5" hidden="false" customHeight="true" outlineLevel="0" collapsed="false">
      <c r="B29" s="126" t="s">
        <v>6982</v>
      </c>
      <c r="C29" s="1443" t="n">
        <f aca="false">'Events · Drivers'!C41</f>
        <v>33000</v>
      </c>
      <c r="D29" s="1269" t="s">
        <v>7528</v>
      </c>
      <c r="E29" s="6"/>
      <c r="H29" s="565" t="s">
        <v>7529</v>
      </c>
    </row>
    <row r="30" customFormat="false" ht="6" hidden="false" customHeight="true" outlineLevel="0" collapsed="false">
      <c r="B30" s="6"/>
      <c r="E30" s="6"/>
    </row>
    <row r="31" customFormat="false" ht="21.75" hidden="false" customHeight="true" outlineLevel="0" collapsed="false">
      <c r="B31" s="125" t="s">
        <v>6375</v>
      </c>
      <c r="C31" s="125"/>
      <c r="D31" s="125"/>
      <c r="E31" s="125"/>
      <c r="F31" s="125"/>
      <c r="G31" s="125"/>
      <c r="H31" s="125"/>
    </row>
    <row r="32" customFormat="false" ht="18" hidden="false" customHeight="true" outlineLevel="0" collapsed="false">
      <c r="B32" s="113" t="s">
        <v>7530</v>
      </c>
      <c r="C32" s="1330" t="n">
        <f aca="false">IF($G$5="Bear",C7,IF($G$5="Bull",E7,D7))</f>
        <v>0.32</v>
      </c>
      <c r="E32" s="6"/>
      <c r="H32" s="565" t="s">
        <v>7531</v>
      </c>
    </row>
    <row r="33" customFormat="false" ht="18" hidden="false" customHeight="true" outlineLevel="0" collapsed="false">
      <c r="B33" s="113" t="s">
        <v>7532</v>
      </c>
      <c r="C33" s="1427" t="n">
        <f aca="false">IF($G$5="Bear",C8,IF($G$5="Bull",E8,D8))</f>
        <v>4.25</v>
      </c>
      <c r="E33" s="6"/>
      <c r="H33" s="565" t="s">
        <v>7531</v>
      </c>
    </row>
    <row r="34" customFormat="false" ht="18" hidden="false" customHeight="true" outlineLevel="0" collapsed="false">
      <c r="B34" s="113" t="s">
        <v>7533</v>
      </c>
      <c r="C34" s="1427" t="n">
        <f aca="false">IF($G$5="Bear",C9,IF($G$5="Bull",E9,D9))</f>
        <v>0.5</v>
      </c>
      <c r="E34" s="6"/>
      <c r="H34" s="565" t="s">
        <v>7531</v>
      </c>
    </row>
    <row r="35" customFormat="false" ht="18" hidden="false" customHeight="true" outlineLevel="0" collapsed="false">
      <c r="B35" s="113" t="s">
        <v>7534</v>
      </c>
      <c r="C35" s="1330" t="n">
        <f aca="false">IF($G$5="Bear",C10,IF($G$5="Bull",E10,D10))</f>
        <v>0.42</v>
      </c>
      <c r="E35" s="6"/>
      <c r="H35" s="565" t="s">
        <v>7531</v>
      </c>
    </row>
    <row r="36" customFormat="false" ht="18" hidden="false" customHeight="true" outlineLevel="0" collapsed="false">
      <c r="B36" s="113" t="s">
        <v>7535</v>
      </c>
      <c r="C36" s="1427" t="n">
        <f aca="false">IF($G$5="Bear",C11,IF($G$5="Bull",E11,D11))</f>
        <v>3.5</v>
      </c>
      <c r="E36" s="6"/>
      <c r="H36" s="565" t="s">
        <v>7531</v>
      </c>
    </row>
    <row r="37" customFormat="false" ht="18" hidden="false" customHeight="true" outlineLevel="0" collapsed="false">
      <c r="B37" s="126" t="s">
        <v>7536</v>
      </c>
      <c r="C37" s="1175" t="n">
        <f aca="false">IF($G$5="Bear",C12,IF($G$5="Bull",E12,D12))</f>
        <v>6</v>
      </c>
      <c r="E37" s="6"/>
      <c r="H37" s="565" t="s">
        <v>7531</v>
      </c>
    </row>
    <row r="38" customFormat="false" ht="18" hidden="false" customHeight="true" outlineLevel="0" collapsed="false">
      <c r="B38" s="113" t="s">
        <v>7537</v>
      </c>
      <c r="C38" s="1330" t="n">
        <f aca="false">IF($G$5="Bear",C13,IF($G$5="Bull",E13,D13))</f>
        <v>0.72</v>
      </c>
      <c r="E38" s="6"/>
      <c r="H38" s="565" t="s">
        <v>7538</v>
      </c>
    </row>
    <row r="39" customFormat="false" ht="18" hidden="false" customHeight="true" outlineLevel="0" collapsed="false">
      <c r="B39" s="113" t="s">
        <v>7539</v>
      </c>
      <c r="C39" s="1176" t="n">
        <f aca="false">IF($G$5="Bear",C14,IF($G$5="Bull",E14,D14))</f>
        <v>10</v>
      </c>
      <c r="E39" s="6"/>
      <c r="H39" s="565" t="s">
        <v>7538</v>
      </c>
    </row>
    <row r="40" customFormat="false" ht="18" hidden="false" customHeight="true" outlineLevel="0" collapsed="false">
      <c r="B40" s="113" t="s">
        <v>7540</v>
      </c>
      <c r="C40" s="1175" t="n">
        <f aca="false">IF($G$5="Bear",C16,IF($G$5="Bull",E16,D16))</f>
        <v>2</v>
      </c>
      <c r="E40" s="6"/>
      <c r="H40" s="565" t="s">
        <v>7541</v>
      </c>
    </row>
    <row r="41" customFormat="false" ht="18" hidden="false" customHeight="true" outlineLevel="0" collapsed="false">
      <c r="B41" s="113" t="s">
        <v>7542</v>
      </c>
      <c r="C41" s="1176" t="n">
        <f aca="false">IF($G$5="Bear",C17,IF($G$5="Bull",E17,D17))</f>
        <v>400</v>
      </c>
      <c r="E41" s="6"/>
      <c r="H41" s="565" t="s">
        <v>7541</v>
      </c>
    </row>
    <row r="42" customFormat="false" ht="18" hidden="false" customHeight="true" outlineLevel="0" collapsed="false">
      <c r="B42" s="113" t="s">
        <v>7543</v>
      </c>
      <c r="C42" s="1175" t="n">
        <f aca="false">IF($G$5="Bear",C18,IF($G$5="Bull",E18,D18))</f>
        <v>1</v>
      </c>
      <c r="E42" s="6"/>
      <c r="H42" s="565" t="s">
        <v>7541</v>
      </c>
    </row>
    <row r="43" customFormat="false" ht="18" hidden="false" customHeight="true" outlineLevel="0" collapsed="false">
      <c r="B43" s="113" t="s">
        <v>7544</v>
      </c>
      <c r="C43" s="1176" t="n">
        <f aca="false">IF($G$5="Bear",C19,IF($G$5="Bull",E19,D19))</f>
        <v>350</v>
      </c>
      <c r="E43" s="6"/>
      <c r="H43" s="565" t="s">
        <v>7541</v>
      </c>
    </row>
    <row r="44" customFormat="false" ht="18" hidden="false" customHeight="true" outlineLevel="0" collapsed="false">
      <c r="B44" s="113" t="s">
        <v>7545</v>
      </c>
      <c r="C44" s="1175" t="n">
        <f aca="false">IF($G$5="Bear",C21,IF($G$5="Bull",E21,D21))</f>
        <v>1</v>
      </c>
      <c r="E44" s="6"/>
      <c r="H44" s="565" t="s">
        <v>7546</v>
      </c>
    </row>
    <row r="45" customFormat="false" ht="18" hidden="false" customHeight="true" outlineLevel="0" collapsed="false">
      <c r="B45" s="113" t="s">
        <v>7547</v>
      </c>
      <c r="C45" s="1175" t="n">
        <f aca="false">IF($G$5="Bear",C22,IF($G$5="Bull",E22,D22))</f>
        <v>40</v>
      </c>
      <c r="E45" s="6"/>
      <c r="H45" s="565" t="s">
        <v>7546</v>
      </c>
    </row>
    <row r="46" customFormat="false" ht="18" hidden="false" customHeight="true" outlineLevel="0" collapsed="false">
      <c r="B46" s="113" t="s">
        <v>7548</v>
      </c>
      <c r="C46" s="1176" t="n">
        <f aca="false">IF($G$5="Bear",C23,IF($G$5="Bull",E23,D23))</f>
        <v>25</v>
      </c>
      <c r="E46" s="6"/>
      <c r="H46" s="565" t="s">
        <v>7546</v>
      </c>
    </row>
    <row r="47" customFormat="false" ht="6" hidden="false" customHeight="true" outlineLevel="0" collapsed="false">
      <c r="B47" s="6"/>
      <c r="E47" s="6"/>
    </row>
    <row r="48" customFormat="false" ht="33.75" hidden="false" customHeight="true" outlineLevel="0" collapsed="false">
      <c r="B48" s="125" t="s">
        <v>7549</v>
      </c>
      <c r="C48" s="125"/>
      <c r="D48" s="125"/>
      <c r="E48" s="125"/>
      <c r="F48" s="125"/>
      <c r="G48" s="125"/>
      <c r="H48" s="125"/>
    </row>
    <row r="49" customFormat="false" ht="16.5" hidden="false" customHeight="true" outlineLevel="0" collapsed="false">
      <c r="B49" s="113" t="s">
        <v>7550</v>
      </c>
      <c r="C49" s="1002" t="n">
        <f aca="false">C26*C32</f>
        <v>14976</v>
      </c>
      <c r="E49" s="6"/>
      <c r="H49" s="565" t="s">
        <v>7551</v>
      </c>
    </row>
    <row r="50" customFormat="false" ht="16.5" hidden="false" customHeight="true" outlineLevel="0" collapsed="false">
      <c r="B50" s="113" t="s">
        <v>7552</v>
      </c>
      <c r="C50" s="1002" t="n">
        <f aca="false">C28*C35*C37*12</f>
        <v>5896.8</v>
      </c>
      <c r="E50" s="6"/>
      <c r="H50" s="565" t="s">
        <v>7553</v>
      </c>
    </row>
    <row r="51" customFormat="false" ht="16.5" hidden="false" customHeight="true" outlineLevel="0" collapsed="false">
      <c r="B51" s="126" t="s">
        <v>7554</v>
      </c>
      <c r="C51" s="1002" t="n">
        <f aca="false">C27*0.25</f>
        <v>19440</v>
      </c>
      <c r="D51" s="0" t="s">
        <v>7555</v>
      </c>
      <c r="E51" s="6"/>
      <c r="H51" s="565" t="s">
        <v>7556</v>
      </c>
    </row>
    <row r="52" customFormat="false" ht="16.5" hidden="false" customHeight="true" outlineLevel="0" collapsed="false">
      <c r="B52" s="113" t="s">
        <v>7557</v>
      </c>
      <c r="C52" s="1002" t="n">
        <f aca="false">C29*C38</f>
        <v>23760</v>
      </c>
      <c r="E52" s="6"/>
      <c r="H52" s="565" t="s">
        <v>7558</v>
      </c>
    </row>
    <row r="53" customFormat="false" ht="16.5" hidden="false" customHeight="true" outlineLevel="0" collapsed="false">
      <c r="B53" s="126" t="s">
        <v>7559</v>
      </c>
      <c r="C53" s="1002" t="n">
        <f aca="false">C44*C45*12</f>
        <v>480</v>
      </c>
      <c r="E53" s="6"/>
      <c r="H53" s="565" t="s">
        <v>7560</v>
      </c>
    </row>
    <row r="54" customFormat="false" ht="16.5" hidden="false" customHeight="true" outlineLevel="0" collapsed="false">
      <c r="B54" s="905" t="s">
        <v>7561</v>
      </c>
      <c r="C54" s="1428" t="n">
        <f aca="false">C49+C50+C52+C53</f>
        <v>45112.8</v>
      </c>
      <c r="E54" s="6"/>
      <c r="H54" s="565" t="s">
        <v>7562</v>
      </c>
    </row>
    <row r="55" customFormat="false" ht="6" hidden="false" customHeight="true" outlineLevel="0" collapsed="false">
      <c r="B55" s="6"/>
      <c r="E55" s="6"/>
    </row>
    <row r="56" customFormat="false" ht="16.5" hidden="false" customHeight="true" outlineLevel="0" collapsed="false">
      <c r="B56" s="113" t="s">
        <v>7563</v>
      </c>
      <c r="C56" s="976" t="n">
        <f aca="false">C49*C33</f>
        <v>63648</v>
      </c>
      <c r="E56" s="6"/>
      <c r="H56" s="565" t="s">
        <v>7564</v>
      </c>
    </row>
    <row r="57" customFormat="false" ht="16.5" hidden="false" customHeight="true" outlineLevel="0" collapsed="false">
      <c r="B57" s="113" t="s">
        <v>7565</v>
      </c>
      <c r="C57" s="976" t="n">
        <f aca="false">C50*C36</f>
        <v>20638.8</v>
      </c>
      <c r="E57" s="6"/>
      <c r="H57" s="565" t="s">
        <v>7564</v>
      </c>
    </row>
    <row r="58" customFormat="false" ht="16.5" hidden="false" customHeight="true" outlineLevel="0" collapsed="false">
      <c r="B58" s="113" t="s">
        <v>7566</v>
      </c>
      <c r="C58" s="976" t="n">
        <f aca="false">C51*C34</f>
        <v>9720</v>
      </c>
      <c r="E58" s="6"/>
      <c r="H58" s="565" t="s">
        <v>7567</v>
      </c>
    </row>
    <row r="59" customFormat="false" ht="16.5" hidden="false" customHeight="true" outlineLevel="0" collapsed="false">
      <c r="B59" s="905" t="s">
        <v>7568</v>
      </c>
      <c r="C59" s="1344" t="n">
        <f aca="false">C56+C57+C58</f>
        <v>94006.8</v>
      </c>
      <c r="E59" s="6"/>
      <c r="H59" s="565" t="s">
        <v>7569</v>
      </c>
    </row>
    <row r="60" customFormat="false" ht="16.5" hidden="false" customHeight="true" outlineLevel="0" collapsed="false">
      <c r="B60" s="126" t="s">
        <v>7570</v>
      </c>
      <c r="C60" s="976" t="n">
        <f aca="false">C40*C41*12</f>
        <v>9600</v>
      </c>
      <c r="E60" s="6"/>
      <c r="H60" s="565" t="s">
        <v>7571</v>
      </c>
    </row>
    <row r="61" customFormat="false" ht="16.5" hidden="false" customHeight="true" outlineLevel="0" collapsed="false">
      <c r="B61" s="126" t="s">
        <v>7572</v>
      </c>
      <c r="C61" s="976" t="n">
        <f aca="false">C42*C43*12</f>
        <v>4200</v>
      </c>
      <c r="E61" s="6"/>
      <c r="H61" s="565" t="s">
        <v>7573</v>
      </c>
    </row>
    <row r="62" customFormat="false" ht="16.5" hidden="false" customHeight="true" outlineLevel="0" collapsed="false">
      <c r="B62" s="905" t="s">
        <v>7574</v>
      </c>
      <c r="C62" s="1344" t="n">
        <f aca="false">C60+C61</f>
        <v>13800</v>
      </c>
      <c r="E62" s="6"/>
      <c r="H62" s="565" t="s">
        <v>7575</v>
      </c>
    </row>
    <row r="63" customFormat="false" ht="16.5" hidden="false" customHeight="true" outlineLevel="0" collapsed="false">
      <c r="B63" s="905" t="s">
        <v>7576</v>
      </c>
      <c r="C63" s="1344" t="n">
        <f aca="false">C52*C39</f>
        <v>237600</v>
      </c>
      <c r="E63" s="6"/>
      <c r="H63" s="565" t="s">
        <v>7577</v>
      </c>
    </row>
    <row r="64" customFormat="false" ht="16.5" hidden="false" customHeight="true" outlineLevel="0" collapsed="false">
      <c r="B64" s="905" t="s">
        <v>7578</v>
      </c>
      <c r="C64" s="1344" t="n">
        <f aca="false">C53*C46</f>
        <v>12000</v>
      </c>
      <c r="E64" s="6"/>
      <c r="H64" s="565" t="s">
        <v>7579</v>
      </c>
    </row>
    <row r="65" customFormat="false" ht="6" hidden="false" customHeight="true" outlineLevel="0" collapsed="false">
      <c r="B65" s="6"/>
      <c r="E65" s="6"/>
    </row>
    <row r="66" customFormat="false" ht="21.75" hidden="false" customHeight="true" outlineLevel="0" collapsed="false">
      <c r="B66" s="96" t="s">
        <v>4601</v>
      </c>
      <c r="C66" s="96"/>
      <c r="D66" s="96"/>
      <c r="E66" s="96"/>
      <c r="F66" s="96"/>
      <c r="G66" s="96"/>
      <c r="H66" s="96"/>
    </row>
    <row r="67" customFormat="false" ht="15" hidden="false" customHeight="true" outlineLevel="0" collapsed="false">
      <c r="B67" s="6"/>
      <c r="E67" s="6"/>
    </row>
    <row r="68" customFormat="false" ht="15" hidden="false" customHeight="true" outlineLevel="0" collapsed="false">
      <c r="B68" s="1076" t="s">
        <v>7580</v>
      </c>
      <c r="E68" s="6"/>
    </row>
    <row r="69" customFormat="false" ht="16.5" hidden="false" customHeight="true" outlineLevel="0" collapsed="false">
      <c r="B69" s="113" t="s">
        <v>7581</v>
      </c>
      <c r="C69" s="936" t="n">
        <v>0.32</v>
      </c>
      <c r="E69" s="6"/>
      <c r="H69" s="565" t="s">
        <v>7582</v>
      </c>
    </row>
    <row r="70" customFormat="false" ht="16.5" hidden="false" customHeight="true" outlineLevel="0" collapsed="false">
      <c r="B70" s="113" t="s">
        <v>7583</v>
      </c>
      <c r="C70" s="936" t="n">
        <v>0.35</v>
      </c>
      <c r="E70" s="6"/>
      <c r="H70" s="565" t="s">
        <v>7584</v>
      </c>
    </row>
    <row r="71" customFormat="false" ht="16.5" hidden="false" customHeight="true" outlineLevel="0" collapsed="false">
      <c r="B71" s="113" t="s">
        <v>7585</v>
      </c>
      <c r="C71" s="936" t="n">
        <v>0.3</v>
      </c>
      <c r="E71" s="6"/>
      <c r="H71" s="565" t="s">
        <v>7586</v>
      </c>
    </row>
    <row r="72" customFormat="false" ht="16.5" hidden="false" customHeight="true" outlineLevel="0" collapsed="false">
      <c r="B72" s="113" t="s">
        <v>7587</v>
      </c>
      <c r="C72" s="936" t="n">
        <v>0.33</v>
      </c>
      <c r="E72" s="6"/>
      <c r="H72" s="565" t="s">
        <v>7588</v>
      </c>
    </row>
    <row r="73" customFormat="false" ht="15" hidden="false" customHeight="true" outlineLevel="0" collapsed="false">
      <c r="B73" s="113" t="s">
        <v>7589</v>
      </c>
      <c r="C73" s="1338" t="n">
        <v>0.35</v>
      </c>
      <c r="E73" s="6"/>
      <c r="H73" s="565" t="s">
        <v>7590</v>
      </c>
    </row>
    <row r="74" customFormat="false" ht="15" hidden="false" customHeight="true" outlineLevel="0" collapsed="false">
      <c r="B74" s="81" t="s">
        <v>4602</v>
      </c>
      <c r="E74" s="6"/>
    </row>
    <row r="75" customFormat="false" ht="16.5" hidden="false" customHeight="true" outlineLevel="0" collapsed="false">
      <c r="B75" s="113" t="s">
        <v>7591</v>
      </c>
      <c r="C75" s="945" t="n">
        <v>40000</v>
      </c>
      <c r="D75" s="0" t="s">
        <v>7592</v>
      </c>
      <c r="E75" s="6"/>
      <c r="H75" s="565" t="s">
        <v>7593</v>
      </c>
    </row>
    <row r="76" customFormat="false" ht="16.5" hidden="false" customHeight="true" outlineLevel="0" collapsed="false">
      <c r="B76" s="113" t="s">
        <v>7594</v>
      </c>
      <c r="C76" s="945" t="n">
        <v>21600</v>
      </c>
      <c r="E76" s="6"/>
      <c r="H76" s="565" t="s">
        <v>7595</v>
      </c>
    </row>
    <row r="77" customFormat="false" ht="16.5" hidden="false" customHeight="true" outlineLevel="0" collapsed="false">
      <c r="B77" s="126" t="s">
        <v>7596</v>
      </c>
      <c r="C77" s="945" t="n">
        <v>48000</v>
      </c>
      <c r="E77" s="6"/>
      <c r="H77" s="565" t="s">
        <v>7597</v>
      </c>
    </row>
    <row r="78" customFormat="false" ht="16.5" hidden="false" customHeight="true" outlineLevel="0" collapsed="false">
      <c r="B78" s="126" t="s">
        <v>7598</v>
      </c>
      <c r="C78" s="945" t="n">
        <v>32400</v>
      </c>
      <c r="E78" s="6"/>
      <c r="H78" s="565" t="s">
        <v>7599</v>
      </c>
    </row>
    <row r="79" customFormat="false" ht="16.5" hidden="false" customHeight="true" outlineLevel="0" collapsed="false">
      <c r="B79" s="113" t="s">
        <v>4612</v>
      </c>
      <c r="C79" s="945" t="n">
        <v>0</v>
      </c>
      <c r="E79" s="6"/>
      <c r="H79" s="565" t="s">
        <v>4613</v>
      </c>
    </row>
    <row r="80" customFormat="false" ht="16.5" hidden="false" customHeight="true" outlineLevel="0" collapsed="false">
      <c r="B80" s="126" t="s">
        <v>7031</v>
      </c>
      <c r="C80" s="945" t="n">
        <v>24000</v>
      </c>
      <c r="E80" s="6"/>
      <c r="H80" s="565" t="s">
        <v>7600</v>
      </c>
    </row>
    <row r="81" customFormat="false" ht="16.5" hidden="false" customHeight="true" outlineLevel="0" collapsed="false">
      <c r="B81" s="113" t="s">
        <v>7026</v>
      </c>
      <c r="C81" s="945" t="n">
        <v>0</v>
      </c>
      <c r="E81" s="6"/>
      <c r="H81" s="565" t="s">
        <v>3640</v>
      </c>
    </row>
    <row r="82" customFormat="false" ht="16.5" hidden="false" customHeight="true" outlineLevel="0" collapsed="false">
      <c r="B82" s="113" t="s">
        <v>7601</v>
      </c>
      <c r="C82" s="945" t="n">
        <v>18000</v>
      </c>
      <c r="D82" s="0" t="s">
        <v>7602</v>
      </c>
      <c r="E82" s="6"/>
      <c r="H82" s="565" t="s">
        <v>7603</v>
      </c>
    </row>
    <row r="83" customFormat="false" ht="16.5" hidden="false" customHeight="true" outlineLevel="0" collapsed="false">
      <c r="B83" s="113" t="s">
        <v>7604</v>
      </c>
      <c r="C83" s="945" t="n">
        <v>6600</v>
      </c>
      <c r="E83" s="6"/>
      <c r="H83" s="565" t="s">
        <v>7605</v>
      </c>
    </row>
    <row r="84" customFormat="false" ht="16.5" hidden="false" customHeight="true" outlineLevel="0" collapsed="false">
      <c r="B84" s="113" t="s">
        <v>7606</v>
      </c>
      <c r="C84" s="945" t="n">
        <v>6000</v>
      </c>
      <c r="E84" s="6"/>
      <c r="H84" s="565" t="s">
        <v>7607</v>
      </c>
    </row>
    <row r="85" customFormat="false" ht="15" hidden="false" customHeight="true" outlineLevel="0" collapsed="false">
      <c r="B85" s="126" t="s">
        <v>7608</v>
      </c>
      <c r="C85" s="605" t="n">
        <v>10800</v>
      </c>
      <c r="E85" s="6"/>
      <c r="H85" s="565" t="s">
        <v>7609</v>
      </c>
    </row>
    <row r="86" customFormat="false" ht="16.5" hidden="false" customHeight="true" outlineLevel="0" collapsed="false">
      <c r="B86" s="126" t="s">
        <v>7610</v>
      </c>
      <c r="C86" s="945" t="n">
        <v>60000</v>
      </c>
      <c r="E86" s="6"/>
      <c r="H86" s="565" t="s">
        <v>7611</v>
      </c>
    </row>
    <row r="87" customFormat="false" ht="16.5" hidden="false" customHeight="true" outlineLevel="0" collapsed="false">
      <c r="B87" s="113" t="s">
        <v>7612</v>
      </c>
      <c r="C87" s="951" t="n">
        <v>0.3</v>
      </c>
      <c r="E87" s="6"/>
      <c r="H87" s="565" t="s">
        <v>7613</v>
      </c>
    </row>
    <row r="88" customFormat="false" ht="16.5" hidden="false" customHeight="true" outlineLevel="0" collapsed="false">
      <c r="B88" s="126" t="s">
        <v>7036</v>
      </c>
      <c r="C88" s="960" t="n">
        <v>0.025</v>
      </c>
      <c r="E88" s="6"/>
      <c r="H88" s="565" t="s">
        <v>7614</v>
      </c>
    </row>
    <row r="89" customFormat="false" ht="16.5" hidden="false" customHeight="true" outlineLevel="0" collapsed="false">
      <c r="B89" s="126" t="s">
        <v>7615</v>
      </c>
      <c r="C89" s="945" t="n">
        <v>60000</v>
      </c>
      <c r="E89" s="6"/>
      <c r="H89" s="565" t="s">
        <v>7616</v>
      </c>
    </row>
    <row r="90" customFormat="false" ht="15" hidden="false" customHeight="true" outlineLevel="0" collapsed="false">
      <c r="B90" s="81" t="s">
        <v>4623</v>
      </c>
      <c r="E90" s="6"/>
    </row>
    <row r="91" customFormat="false" ht="16.5" hidden="false" customHeight="true" outlineLevel="0" collapsed="false">
      <c r="B91" s="126" t="s">
        <v>7617</v>
      </c>
      <c r="C91" s="951" t="n">
        <v>0.2</v>
      </c>
      <c r="E91" s="6"/>
      <c r="H91" s="565" t="s">
        <v>7618</v>
      </c>
    </row>
    <row r="92" customFormat="false" ht="16.5" hidden="false" customHeight="true" outlineLevel="0" collapsed="false">
      <c r="B92" s="126" t="s">
        <v>7619</v>
      </c>
      <c r="C92" s="945" t="n">
        <v>30000</v>
      </c>
      <c r="E92" s="6"/>
      <c r="H92" s="565" t="s">
        <v>7620</v>
      </c>
    </row>
    <row r="93" customFormat="false" ht="16.5" hidden="false" customHeight="true" outlineLevel="0" collapsed="false">
      <c r="B93" s="126" t="s">
        <v>7621</v>
      </c>
      <c r="C93" s="945" t="n">
        <v>24000</v>
      </c>
      <c r="E93" s="6"/>
      <c r="H93" s="565" t="s">
        <v>7622</v>
      </c>
    </row>
    <row r="94" customFormat="false" ht="16.5" hidden="false" customHeight="true" outlineLevel="0" collapsed="false">
      <c r="B94" s="126" t="s">
        <v>7623</v>
      </c>
      <c r="C94" s="945" t="n">
        <v>30000</v>
      </c>
      <c r="D94" s="0" t="s">
        <v>7624</v>
      </c>
      <c r="E94" s="6"/>
      <c r="H94" s="565" t="s">
        <v>7625</v>
      </c>
    </row>
    <row r="95" customFormat="false" ht="33.75" hidden="false" customHeight="true" outlineLevel="0" collapsed="false">
      <c r="B95" s="555" t="s">
        <v>7626</v>
      </c>
      <c r="C95" s="555"/>
      <c r="D95" s="555"/>
      <c r="E95" s="555"/>
      <c r="F95" s="555"/>
      <c r="G95" s="555"/>
      <c r="H95" s="555"/>
    </row>
    <row r="96" customFormat="false" ht="19.5" hidden="false" customHeight="true" outlineLevel="0" collapsed="false">
      <c r="B96" s="97" t="s">
        <v>392</v>
      </c>
      <c r="C96" s="675" t="s">
        <v>2444</v>
      </c>
      <c r="D96" s="676" t="s">
        <v>203</v>
      </c>
      <c r="E96" s="678" t="s">
        <v>2445</v>
      </c>
    </row>
    <row r="97" customFormat="false" ht="15" hidden="false" customHeight="true" outlineLevel="0" collapsed="false">
      <c r="B97" s="1076" t="s">
        <v>7627</v>
      </c>
      <c r="E97" s="6"/>
    </row>
    <row r="98" customFormat="false" ht="16.5" hidden="false" customHeight="true" outlineLevel="0" collapsed="false">
      <c r="B98" s="126" t="s">
        <v>7628</v>
      </c>
      <c r="C98" s="1172" t="n">
        <v>100</v>
      </c>
      <c r="D98" s="1173" t="n">
        <v>120</v>
      </c>
      <c r="E98" s="1174" t="n">
        <v>220</v>
      </c>
      <c r="F98" s="0" t="s">
        <v>7629</v>
      </c>
      <c r="H98" s="565" t="s">
        <v>7630</v>
      </c>
    </row>
    <row r="99" customFormat="false" ht="16.5" hidden="false" customHeight="true" outlineLevel="0" collapsed="false">
      <c r="B99" s="126" t="s">
        <v>7631</v>
      </c>
      <c r="C99" s="1424" t="n">
        <v>7</v>
      </c>
      <c r="D99" s="1425" t="n">
        <v>9</v>
      </c>
      <c r="E99" s="1426" t="n">
        <v>12</v>
      </c>
      <c r="H99" s="565" t="s">
        <v>7632</v>
      </c>
    </row>
    <row r="100" customFormat="false" ht="16.5" hidden="false" customHeight="true" outlineLevel="0" collapsed="false">
      <c r="B100" s="113" t="s">
        <v>7633</v>
      </c>
      <c r="C100" s="1172" t="n">
        <v>240</v>
      </c>
      <c r="D100" s="1173" t="n">
        <v>240</v>
      </c>
      <c r="E100" s="1174" t="n">
        <v>280</v>
      </c>
      <c r="H100" s="565" t="s">
        <v>7634</v>
      </c>
    </row>
    <row r="101" customFormat="false" ht="15" hidden="false" customHeight="true" outlineLevel="0" collapsed="false">
      <c r="B101" s="6"/>
      <c r="E101" s="6"/>
    </row>
    <row r="102" customFormat="false" ht="15" hidden="false" customHeight="true" outlineLevel="0" collapsed="false">
      <c r="B102" s="81" t="s">
        <v>7635</v>
      </c>
      <c r="E102" s="6"/>
    </row>
    <row r="103" customFormat="false" ht="16.5" hidden="false" customHeight="true" outlineLevel="0" collapsed="false">
      <c r="B103" s="113" t="s">
        <v>7636</v>
      </c>
      <c r="C103" s="1172" t="n">
        <v>60</v>
      </c>
      <c r="D103" s="1173" t="n">
        <v>60</v>
      </c>
      <c r="E103" s="1174" t="n">
        <v>130</v>
      </c>
      <c r="F103" s="0" t="s">
        <v>7637</v>
      </c>
      <c r="H103" s="565" t="s">
        <v>7638</v>
      </c>
    </row>
    <row r="104" customFormat="false" ht="16.5" hidden="false" customHeight="true" outlineLevel="0" collapsed="false">
      <c r="B104" s="113" t="s">
        <v>7639</v>
      </c>
      <c r="C104" s="1424" t="n">
        <v>8</v>
      </c>
      <c r="D104" s="1425" t="n">
        <v>11</v>
      </c>
      <c r="E104" s="1426" t="n">
        <v>15</v>
      </c>
      <c r="H104" s="565" t="s">
        <v>7640</v>
      </c>
    </row>
    <row r="105" customFormat="false" ht="16.5" hidden="false" customHeight="true" outlineLevel="0" collapsed="false">
      <c r="B105" s="113" t="s">
        <v>7641</v>
      </c>
      <c r="C105" s="1172" t="n">
        <v>300</v>
      </c>
      <c r="D105" s="1173" t="n">
        <v>280</v>
      </c>
      <c r="E105" s="1174" t="n">
        <v>330</v>
      </c>
      <c r="H105" s="565" t="s">
        <v>7642</v>
      </c>
    </row>
    <row r="106" customFormat="false" ht="16.5" hidden="false" customHeight="true" outlineLevel="0" collapsed="false">
      <c r="B106" s="113" t="s">
        <v>7643</v>
      </c>
      <c r="C106" s="923" t="n">
        <v>0.3</v>
      </c>
      <c r="D106" s="924" t="n">
        <v>0.3</v>
      </c>
      <c r="E106" s="925" t="n">
        <v>0.25</v>
      </c>
      <c r="F106" s="0" t="s">
        <v>7644</v>
      </c>
      <c r="H106" s="565" t="s">
        <v>7645</v>
      </c>
    </row>
    <row r="107" customFormat="false" ht="15" hidden="false" customHeight="true" outlineLevel="0" collapsed="false">
      <c r="B107" s="6"/>
      <c r="E107" s="6"/>
    </row>
    <row r="108" customFormat="false" ht="15" hidden="false" customHeight="true" outlineLevel="0" collapsed="false">
      <c r="B108" s="81" t="s">
        <v>7646</v>
      </c>
      <c r="E108" s="6"/>
    </row>
    <row r="109" customFormat="false" ht="16.5" hidden="false" customHeight="true" outlineLevel="0" collapsed="false">
      <c r="B109" s="113" t="s">
        <v>7647</v>
      </c>
      <c r="C109" s="1172" t="n">
        <v>24</v>
      </c>
      <c r="D109" s="1173" t="n">
        <v>40</v>
      </c>
      <c r="E109" s="1174" t="n">
        <v>120</v>
      </c>
      <c r="H109" s="565" t="s">
        <v>7648</v>
      </c>
    </row>
    <row r="110" customFormat="false" ht="16.5" hidden="false" customHeight="true" outlineLevel="0" collapsed="false">
      <c r="B110" s="113" t="s">
        <v>7649</v>
      </c>
      <c r="C110" s="1172" t="n">
        <v>30</v>
      </c>
      <c r="D110" s="1173" t="n">
        <v>45</v>
      </c>
      <c r="E110" s="1174" t="n">
        <v>60</v>
      </c>
      <c r="H110" s="565" t="s">
        <v>7650</v>
      </c>
    </row>
    <row r="111" customFormat="false" ht="16.5" hidden="false" customHeight="true" outlineLevel="0" collapsed="false">
      <c r="B111" s="113" t="s">
        <v>7651</v>
      </c>
      <c r="C111" s="927" t="n">
        <v>5</v>
      </c>
      <c r="D111" s="928" t="n">
        <v>8</v>
      </c>
      <c r="E111" s="929" t="n">
        <v>12</v>
      </c>
      <c r="H111" s="565" t="s">
        <v>7652</v>
      </c>
    </row>
    <row r="112" customFormat="false" ht="15" hidden="false" customHeight="true" outlineLevel="0" collapsed="false">
      <c r="B112" s="6"/>
      <c r="E112" s="6"/>
    </row>
    <row r="113" customFormat="false" ht="15" hidden="false" customHeight="true" outlineLevel="0" collapsed="false">
      <c r="B113" s="6"/>
      <c r="E113" s="6"/>
    </row>
    <row r="114" customFormat="false" ht="21.75" hidden="false" customHeight="true" outlineLevel="0" collapsed="false">
      <c r="B114" s="72" t="s">
        <v>7653</v>
      </c>
      <c r="C114" s="72"/>
      <c r="D114" s="72"/>
      <c r="E114" s="72"/>
      <c r="F114" s="72"/>
      <c r="G114" s="72"/>
      <c r="H114" s="72"/>
    </row>
    <row r="115" customFormat="false" ht="18" hidden="false" customHeight="true" outlineLevel="0" collapsed="false">
      <c r="B115" s="113" t="s">
        <v>7654</v>
      </c>
      <c r="C115" s="1175" t="n">
        <f aca="false">IF($G$5="Bear",C98,IF($G$5="Bull",E98,D98))</f>
        <v>120</v>
      </c>
      <c r="E115" s="6"/>
      <c r="H115" s="565" t="s">
        <v>7655</v>
      </c>
    </row>
    <row r="116" customFormat="false" ht="18" hidden="false" customHeight="true" outlineLevel="0" collapsed="false">
      <c r="B116" s="113" t="s">
        <v>7656</v>
      </c>
      <c r="C116" s="1427" t="n">
        <f aca="false">IF($G$5="Bear",C99,IF($G$5="Bull",E99,D99))</f>
        <v>9</v>
      </c>
      <c r="E116" s="6"/>
      <c r="H116" s="565" t="s">
        <v>7655</v>
      </c>
    </row>
    <row r="117" customFormat="false" ht="18" hidden="false" customHeight="true" outlineLevel="0" collapsed="false">
      <c r="B117" s="113" t="s">
        <v>7657</v>
      </c>
      <c r="C117" s="1175" t="n">
        <f aca="false">IF($G$5="Bear",C100,IF($G$5="Bull",E100,D100))</f>
        <v>240</v>
      </c>
      <c r="E117" s="6"/>
      <c r="H117" s="565" t="s">
        <v>7655</v>
      </c>
    </row>
    <row r="118" customFormat="false" ht="18" hidden="false" customHeight="true" outlineLevel="0" collapsed="false">
      <c r="B118" s="113" t="s">
        <v>7658</v>
      </c>
      <c r="C118" s="1175" t="n">
        <f aca="false">IF($G$5="Bear",C103,IF($G$5="Bull",E103,D103))</f>
        <v>60</v>
      </c>
      <c r="E118" s="6"/>
      <c r="H118" s="565" t="s">
        <v>7659</v>
      </c>
    </row>
    <row r="119" customFormat="false" ht="18" hidden="false" customHeight="true" outlineLevel="0" collapsed="false">
      <c r="B119" s="113" t="s">
        <v>7660</v>
      </c>
      <c r="C119" s="1427" t="n">
        <f aca="false">IF($G$5="Bear",C104,IF($G$5="Bull",E104,D104))</f>
        <v>11</v>
      </c>
      <c r="E119" s="6"/>
      <c r="H119" s="565" t="s">
        <v>7659</v>
      </c>
    </row>
    <row r="120" customFormat="false" ht="18" hidden="false" customHeight="true" outlineLevel="0" collapsed="false">
      <c r="B120" s="113" t="s">
        <v>7661</v>
      </c>
      <c r="C120" s="1175" t="n">
        <f aca="false">IF($G$5="Bear",C105,IF($G$5="Bull",E105,D105))</f>
        <v>280</v>
      </c>
      <c r="E120" s="6"/>
      <c r="H120" s="565" t="s">
        <v>7659</v>
      </c>
    </row>
    <row r="121" customFormat="false" ht="18" hidden="false" customHeight="true" outlineLevel="0" collapsed="false">
      <c r="B121" s="113" t="s">
        <v>7662</v>
      </c>
      <c r="C121" s="1330" t="n">
        <f aca="false">IF($G$5="Bear",C106,IF($G$5="Bull",E106,D106))</f>
        <v>0.3</v>
      </c>
      <c r="E121" s="6"/>
      <c r="H121" s="565" t="s">
        <v>7663</v>
      </c>
    </row>
    <row r="122" customFormat="false" ht="18" hidden="false" customHeight="true" outlineLevel="0" collapsed="false">
      <c r="B122" s="113" t="s">
        <v>7664</v>
      </c>
      <c r="C122" s="1175" t="n">
        <f aca="false">IF($G$5="Bear",C109,IF($G$5="Bull",E109,D109))</f>
        <v>40</v>
      </c>
      <c r="E122" s="6"/>
      <c r="H122" s="565" t="s">
        <v>7538</v>
      </c>
    </row>
    <row r="123" customFormat="false" ht="18" hidden="false" customHeight="true" outlineLevel="0" collapsed="false">
      <c r="B123" s="113" t="s">
        <v>7665</v>
      </c>
      <c r="C123" s="1175" t="n">
        <f aca="false">IF($G$5="Bear",C110,IF($G$5="Bull",E110,D110))</f>
        <v>45</v>
      </c>
      <c r="E123" s="6"/>
      <c r="H123" s="565" t="s">
        <v>7538</v>
      </c>
    </row>
    <row r="124" customFormat="false" ht="18" hidden="false" customHeight="true" outlineLevel="0" collapsed="false">
      <c r="B124" s="113" t="s">
        <v>7666</v>
      </c>
      <c r="C124" s="1176" t="n">
        <f aca="false">IF($G$5="Bear",C111,IF($G$5="Bull",E111,D111))</f>
        <v>8</v>
      </c>
      <c r="E124" s="6"/>
      <c r="H124" s="565" t="s">
        <v>7538</v>
      </c>
    </row>
    <row r="125" customFormat="false" ht="15" hidden="false" customHeight="true" outlineLevel="0" collapsed="false">
      <c r="B125" s="6"/>
      <c r="E125" s="6"/>
    </row>
    <row r="126" customFormat="false" ht="15" hidden="false" customHeight="true" outlineLevel="0" collapsed="false">
      <c r="B126" s="6"/>
      <c r="E126" s="6"/>
    </row>
    <row r="127" customFormat="false" ht="21.75" hidden="false" customHeight="true" outlineLevel="0" collapsed="false">
      <c r="B127" s="72" t="s">
        <v>7667</v>
      </c>
      <c r="C127" s="72"/>
      <c r="D127" s="72"/>
      <c r="E127" s="72"/>
      <c r="F127" s="72"/>
      <c r="G127" s="72"/>
      <c r="H127" s="72"/>
    </row>
    <row r="128" customFormat="false" ht="16.5" hidden="false" customHeight="true" outlineLevel="0" collapsed="false">
      <c r="B128" s="905" t="s">
        <v>7668</v>
      </c>
      <c r="C128" s="1344" t="n">
        <f aca="false">C115*C116*C117</f>
        <v>259200</v>
      </c>
      <c r="E128" s="6"/>
      <c r="H128" s="565" t="s">
        <v>7669</v>
      </c>
    </row>
    <row r="129" customFormat="false" ht="16.5" hidden="false" customHeight="true" outlineLevel="0" collapsed="false">
      <c r="B129" s="113" t="s">
        <v>7670</v>
      </c>
      <c r="C129" s="976" t="n">
        <f aca="false">C118*C119*C120</f>
        <v>184800</v>
      </c>
      <c r="E129" s="6"/>
      <c r="H129" s="565" t="s">
        <v>7671</v>
      </c>
    </row>
    <row r="130" customFormat="false" ht="16.5" hidden="false" customHeight="true" outlineLevel="0" collapsed="false">
      <c r="B130" s="113" t="s">
        <v>7672</v>
      </c>
      <c r="C130" s="976" t="n">
        <f aca="false">C129*C121</f>
        <v>55440</v>
      </c>
      <c r="E130" s="6"/>
      <c r="H130" s="565" t="s">
        <v>7673</v>
      </c>
    </row>
    <row r="131" customFormat="false" ht="16.5" hidden="false" customHeight="true" outlineLevel="0" collapsed="false">
      <c r="B131" s="905" t="s">
        <v>7674</v>
      </c>
      <c r="C131" s="1344" t="n">
        <f aca="false">C129-C130</f>
        <v>129360</v>
      </c>
      <c r="E131" s="6"/>
      <c r="H131" s="565" t="s">
        <v>7675</v>
      </c>
    </row>
    <row r="132" customFormat="false" ht="16.5" hidden="false" customHeight="true" outlineLevel="0" collapsed="false">
      <c r="B132" s="905" t="s">
        <v>7676</v>
      </c>
      <c r="C132" s="1344" t="n">
        <f aca="false">C122*C123*C124</f>
        <v>14400</v>
      </c>
      <c r="E132" s="6"/>
      <c r="H132" s="565" t="s">
        <v>7677</v>
      </c>
    </row>
    <row r="133" customFormat="false" ht="15" hidden="false" customHeight="true" outlineLevel="0" collapsed="false">
      <c r="B133" s="905" t="s">
        <v>7678</v>
      </c>
      <c r="C133" s="1344" t="n">
        <f aca="false">C134*C135</f>
        <v>29347.5</v>
      </c>
      <c r="D133" s="0" t="s">
        <v>7679</v>
      </c>
      <c r="E133" s="6"/>
    </row>
    <row r="134" customFormat="false" ht="15" hidden="false" customHeight="true" outlineLevel="0" collapsed="false">
      <c r="B134" s="905" t="s">
        <v>7680</v>
      </c>
      <c r="C134" s="1344" t="n">
        <f aca="false">'Gaming · Revenue'!C46*52</f>
        <v>8385</v>
      </c>
      <c r="E134" s="6"/>
    </row>
    <row r="135" customFormat="false" ht="15" hidden="false" customHeight="true" outlineLevel="0" collapsed="false">
      <c r="B135" s="905" t="s">
        <v>7681</v>
      </c>
      <c r="C135" s="1344" t="n">
        <v>3.5</v>
      </c>
      <c r="D135" s="0" t="s">
        <v>7682</v>
      </c>
      <c r="E135" s="6"/>
    </row>
  </sheetData>
  <mergeCells count="12">
    <mergeCell ref="B2:F2"/>
    <mergeCell ref="G2:J2"/>
    <mergeCell ref="B3:J3"/>
    <mergeCell ref="G4:H4"/>
    <mergeCell ref="B5:E5"/>
    <mergeCell ref="B25:H25"/>
    <mergeCell ref="B31:H31"/>
    <mergeCell ref="B48:H48"/>
    <mergeCell ref="B66:H66"/>
    <mergeCell ref="B95:H95"/>
    <mergeCell ref="B114:H114"/>
    <mergeCell ref="B127:H12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20"/>
    <col collapsed="false" customWidth="true" hidden="false" outlineLevel="0" max="6" min="5" style="0" width="15"/>
    <col collapsed="false" customWidth="true" hidden="false" outlineLevel="0" max="7" min="7" style="0" width="28"/>
  </cols>
  <sheetData>
    <row r="1" customFormat="false" ht="3.75" hidden="false" customHeight="true" outlineLevel="0" collapsed="false">
      <c r="B1" s="1"/>
      <c r="C1" s="2"/>
      <c r="D1" s="1"/>
      <c r="E1" s="2"/>
    </row>
    <row r="2" customFormat="false" ht="27.75" hidden="false" customHeight="true" outlineLevel="0" collapsed="false">
      <c r="B2" s="15" t="s">
        <v>7683</v>
      </c>
      <c r="C2" s="15"/>
      <c r="D2" s="15"/>
      <c r="E2" s="15"/>
    </row>
    <row r="3" customFormat="false" ht="33.75" hidden="false" customHeight="true" outlineLevel="0" collapsed="false">
      <c r="B3" s="529" t="s">
        <v>7684</v>
      </c>
      <c r="C3" s="529"/>
      <c r="D3" s="529"/>
      <c r="E3" s="529"/>
    </row>
    <row r="4" customFormat="false" ht="33.75" hidden="false" customHeight="true" outlineLevel="0" collapsed="false">
      <c r="B4" s="513" t="s">
        <v>7685</v>
      </c>
      <c r="C4" s="513"/>
      <c r="D4" s="513"/>
      <c r="E4" s="513"/>
      <c r="F4" s="0" t="s">
        <v>3856</v>
      </c>
    </row>
    <row r="5" customFormat="false" ht="21.75" hidden="false" customHeight="true" outlineLevel="0" collapsed="false">
      <c r="B5" s="575" t="s">
        <v>7686</v>
      </c>
      <c r="C5" s="575"/>
      <c r="D5" s="575"/>
      <c r="E5" s="575"/>
      <c r="F5" s="98" t="s">
        <v>102</v>
      </c>
      <c r="G5" s="551" t="s">
        <v>3859</v>
      </c>
    </row>
    <row r="6" customFormat="false" ht="21.75" hidden="false" customHeight="true" outlineLevel="0" collapsed="false">
      <c r="B6" s="97" t="s">
        <v>3857</v>
      </c>
      <c r="C6" s="98" t="s">
        <v>393</v>
      </c>
      <c r="D6" s="99" t="s">
        <v>1658</v>
      </c>
      <c r="E6" s="98" t="s">
        <v>3858</v>
      </c>
    </row>
    <row r="7" customFormat="false" ht="27.75" hidden="false" customHeight="true" outlineLevel="0" collapsed="false">
      <c r="B7" s="1324" t="s">
        <v>7687</v>
      </c>
      <c r="C7" s="1457" t="n">
        <f aca="false">'F&amp;B · Drivers'!D7</f>
        <v>0.32</v>
      </c>
      <c r="D7" s="1458" t="s">
        <v>7688</v>
      </c>
      <c r="E7" s="1459" t="s">
        <v>4796</v>
      </c>
      <c r="F7" s="1257" t="s">
        <v>1600</v>
      </c>
      <c r="G7" s="538" t="s">
        <v>7689</v>
      </c>
    </row>
    <row r="8" customFormat="false" ht="27.75" hidden="false" customHeight="true" outlineLevel="0" collapsed="false">
      <c r="B8" s="1324" t="s">
        <v>7690</v>
      </c>
      <c r="C8" s="1460" t="n">
        <f aca="false">'F&amp;B · Drivers'!D8</f>
        <v>4.25</v>
      </c>
      <c r="D8" s="1458" t="s">
        <v>7691</v>
      </c>
      <c r="E8" s="1459" t="s">
        <v>4796</v>
      </c>
      <c r="F8" s="1257" t="s">
        <v>1600</v>
      </c>
      <c r="G8" s="538" t="s">
        <v>7692</v>
      </c>
    </row>
    <row r="9" customFormat="false" ht="27.75" hidden="false" customHeight="true" outlineLevel="0" collapsed="false">
      <c r="B9" s="1324" t="s">
        <v>7693</v>
      </c>
      <c r="C9" s="1461" t="str">
        <f aca="false">'F&amp;B · Drivers'!D26</f>
        <v>⚠ HARDCODED</v>
      </c>
      <c r="D9" s="1458" t="s">
        <v>7694</v>
      </c>
      <c r="E9" s="1462" t="s">
        <v>4807</v>
      </c>
      <c r="F9" s="1259" t="s">
        <v>4803</v>
      </c>
      <c r="G9" s="538" t="s">
        <v>7695</v>
      </c>
    </row>
    <row r="10" customFormat="false" ht="27.75" hidden="false" customHeight="true" outlineLevel="0" collapsed="false">
      <c r="B10" s="1324" t="s">
        <v>7696</v>
      </c>
      <c r="C10" s="1461" t="n">
        <f aca="false">'F&amp;B · Drivers'!D40</f>
        <v>0</v>
      </c>
      <c r="D10" s="1458" t="s">
        <v>7697</v>
      </c>
      <c r="E10" s="1463" t="s">
        <v>4821</v>
      </c>
      <c r="F10" s="1259" t="s">
        <v>4803</v>
      </c>
      <c r="G10" s="538" t="s">
        <v>7698</v>
      </c>
    </row>
    <row r="11" customFormat="false" ht="27.75" hidden="false" customHeight="true" outlineLevel="0" collapsed="false">
      <c r="B11" s="1324" t="s">
        <v>7699</v>
      </c>
      <c r="C11" s="1464" t="n">
        <f aca="false">'F&amp;B · Drivers'!D103</f>
        <v>60</v>
      </c>
      <c r="D11" s="1458" t="s">
        <v>7700</v>
      </c>
      <c r="E11" s="1459" t="s">
        <v>4796</v>
      </c>
      <c r="F11" s="1259" t="s">
        <v>4803</v>
      </c>
      <c r="G11" s="538" t="s">
        <v>7701</v>
      </c>
    </row>
    <row r="12" customFormat="false" ht="27.75" hidden="false" customHeight="true" outlineLevel="0" collapsed="false">
      <c r="B12" s="1324" t="s">
        <v>7702</v>
      </c>
      <c r="C12" s="1465" t="n">
        <v>0.2375</v>
      </c>
      <c r="D12" s="1458" t="s">
        <v>7703</v>
      </c>
      <c r="E12" s="1462" t="s">
        <v>4807</v>
      </c>
      <c r="F12" s="1257" t="s">
        <v>1600</v>
      </c>
      <c r="G12" s="538" t="s">
        <v>7704</v>
      </c>
    </row>
    <row r="13" customFormat="false" ht="27.75" hidden="false" customHeight="true" outlineLevel="0" collapsed="false">
      <c r="B13" s="1324" t="s">
        <v>7705</v>
      </c>
      <c r="C13" s="1465" t="n">
        <v>0.3</v>
      </c>
      <c r="D13" s="1458" t="s">
        <v>7706</v>
      </c>
      <c r="E13" s="1459" t="s">
        <v>4796</v>
      </c>
      <c r="F13" s="1257" t="s">
        <v>1600</v>
      </c>
      <c r="G13" s="538" t="s">
        <v>7707</v>
      </c>
    </row>
    <row r="14" customFormat="false" ht="27.75" hidden="false" customHeight="true" outlineLevel="0" collapsed="false">
      <c r="B14" s="1324" t="s">
        <v>4944</v>
      </c>
      <c r="C14" s="1465" t="n">
        <v>0.1</v>
      </c>
      <c r="D14" s="1458" t="s">
        <v>7708</v>
      </c>
      <c r="E14" s="1459" t="s">
        <v>4796</v>
      </c>
      <c r="F14" s="1216" t="s">
        <v>2765</v>
      </c>
      <c r="G14" s="538" t="s">
        <v>7709</v>
      </c>
    </row>
    <row r="15" customFormat="false" ht="15" hidden="false" customHeight="true" outlineLevel="0" collapsed="false">
      <c r="B15" s="0" t="s">
        <v>4901</v>
      </c>
      <c r="C15" s="0" t="n">
        <v>0.4</v>
      </c>
    </row>
    <row r="16" customFormat="false" ht="15" hidden="false" customHeight="true" outlineLevel="0" collapsed="false">
      <c r="B16" s="0" t="s">
        <v>4902</v>
      </c>
      <c r="C16" s="0" t="n">
        <v>0.6</v>
      </c>
    </row>
  </sheetData>
  <mergeCells count="4">
    <mergeCell ref="B2:E2"/>
    <mergeCell ref="B3:E3"/>
    <mergeCell ref="B4:E4"/>
    <mergeCell ref="B5:E5"/>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7710</v>
      </c>
      <c r="C2" s="917"/>
      <c r="D2" s="917"/>
      <c r="E2" s="917"/>
      <c r="F2" s="917"/>
      <c r="G2" s="89" t="s">
        <v>3432</v>
      </c>
      <c r="H2" s="89"/>
      <c r="I2" s="89"/>
      <c r="J2" s="89"/>
    </row>
    <row r="3" customFormat="false" ht="48.75" hidden="false" customHeight="true" outlineLevel="0" collapsed="false">
      <c r="B3" s="90" t="s">
        <v>7711</v>
      </c>
      <c r="C3" s="90"/>
      <c r="D3" s="90"/>
      <c r="E3" s="90"/>
      <c r="F3" s="90"/>
      <c r="G3" s="90"/>
      <c r="H3" s="90"/>
      <c r="I3" s="90"/>
      <c r="J3" s="90"/>
    </row>
    <row r="4" customFormat="false" ht="15" hidden="false" customHeight="true" outlineLevel="0" collapsed="false">
      <c r="B4" s="6"/>
      <c r="I4" s="6"/>
    </row>
    <row r="5" customFormat="false" ht="33.75" hidden="false" customHeight="true" outlineLevel="0" collapsed="false">
      <c r="B5" s="96" t="s">
        <v>7712</v>
      </c>
      <c r="C5" s="96"/>
      <c r="D5" s="96"/>
      <c r="E5" s="96"/>
      <c r="F5" s="96"/>
      <c r="G5" s="96"/>
      <c r="H5" s="96"/>
      <c r="I5" s="6"/>
    </row>
    <row r="6" customFormat="false" ht="19.5" hidden="false" customHeight="true" outlineLevel="0" collapsed="false">
      <c r="B6" s="97" t="s">
        <v>7076</v>
      </c>
      <c r="C6" s="98" t="s">
        <v>7713</v>
      </c>
      <c r="D6" s="98" t="s">
        <v>7714</v>
      </c>
      <c r="E6" s="98" t="s">
        <v>4770</v>
      </c>
      <c r="G6" s="551" t="s">
        <v>3508</v>
      </c>
      <c r="I6" s="6"/>
    </row>
    <row r="7" customFormat="false" ht="16.5" hidden="false" customHeight="true" outlineLevel="0" collapsed="false">
      <c r="B7" s="113" t="s">
        <v>7715</v>
      </c>
      <c r="C7" s="1366" t="n">
        <f aca="false">'F&amp;B · Drivers'!C49</f>
        <v>14976</v>
      </c>
      <c r="D7" s="1432" t="n">
        <f aca="false">'F&amp;B · Drivers'!C33</f>
        <v>4.25</v>
      </c>
      <c r="E7" s="544" t="n">
        <f aca="false">'F&amp;B · Drivers'!C49*'F&amp;B · Drivers'!C33</f>
        <v>63648</v>
      </c>
      <c r="G7" s="565" t="s">
        <v>7716</v>
      </c>
      <c r="I7" s="6"/>
    </row>
    <row r="8" customFormat="false" ht="16.5" hidden="false" customHeight="true" outlineLevel="0" collapsed="false">
      <c r="B8" s="113" t="s">
        <v>7717</v>
      </c>
      <c r="C8" s="1366" t="n">
        <f aca="false">'F&amp;B · Drivers'!C50</f>
        <v>5896.8</v>
      </c>
      <c r="D8" s="1432" t="n">
        <f aca="false">'F&amp;B · Drivers'!C36</f>
        <v>3.5</v>
      </c>
      <c r="E8" s="544" t="n">
        <f aca="false">'F&amp;B · Drivers'!C50*'F&amp;B · Drivers'!C36</f>
        <v>20638.8</v>
      </c>
      <c r="G8" s="565" t="s">
        <v>7718</v>
      </c>
      <c r="I8" s="6"/>
    </row>
    <row r="9" customFormat="false" ht="16.5" hidden="false" customHeight="true" outlineLevel="0" collapsed="false">
      <c r="B9" s="126" t="s">
        <v>7719</v>
      </c>
      <c r="C9" s="1366" t="n">
        <f aca="false">'F&amp;B · Drivers'!C51</f>
        <v>19440</v>
      </c>
      <c r="D9" s="1432" t="n">
        <f aca="false">'F&amp;B · Drivers'!C34</f>
        <v>0.5</v>
      </c>
      <c r="E9" s="544" t="n">
        <f aca="false">'F&amp;B · Drivers'!C51*'F&amp;B · Drivers'!C34</f>
        <v>9720</v>
      </c>
      <c r="G9" s="565" t="s">
        <v>7720</v>
      </c>
      <c r="I9" s="6"/>
    </row>
    <row r="10" customFormat="false" ht="21.75" hidden="false" customHeight="true" outlineLevel="0" collapsed="false">
      <c r="B10" s="81" t="s">
        <v>7568</v>
      </c>
      <c r="E10" s="1446" t="n">
        <f aca="false">SUM(E7:E9)+'F&amp;B · Drivers'!C128+'F&amp;B · Drivers'!C133</f>
        <v>382554.3</v>
      </c>
      <c r="G10" s="1269" t="s">
        <v>7721</v>
      </c>
      <c r="I10" s="6"/>
    </row>
    <row r="11" customFormat="false" ht="15" hidden="false" customHeight="true" outlineLevel="0" collapsed="false">
      <c r="B11" s="6"/>
      <c r="I11" s="6"/>
    </row>
    <row r="12" customFormat="false" ht="33.75" hidden="false" customHeight="true" outlineLevel="0" collapsed="false">
      <c r="B12" s="96" t="s">
        <v>7722</v>
      </c>
      <c r="C12" s="96"/>
      <c r="D12" s="96"/>
      <c r="E12" s="96"/>
      <c r="F12" s="96"/>
      <c r="G12" s="96"/>
      <c r="H12" s="96"/>
      <c r="I12" s="6"/>
    </row>
    <row r="13" customFormat="false" ht="19.5" hidden="false" customHeight="true" outlineLevel="0" collapsed="false">
      <c r="B13" s="97" t="s">
        <v>7076</v>
      </c>
      <c r="C13" s="98" t="s">
        <v>7723</v>
      </c>
      <c r="D13" s="98" t="s">
        <v>7724</v>
      </c>
      <c r="E13" s="98" t="s">
        <v>4770</v>
      </c>
      <c r="G13" s="551" t="s">
        <v>3508</v>
      </c>
      <c r="I13" s="6"/>
    </row>
    <row r="14" customFormat="false" ht="16.5" hidden="false" customHeight="true" outlineLevel="0" collapsed="false">
      <c r="B14" s="113" t="s">
        <v>7725</v>
      </c>
      <c r="C14" s="1366" t="n">
        <f aca="false">'F&amp;B · Drivers'!C40*12</f>
        <v>24</v>
      </c>
      <c r="D14" s="1263" t="n">
        <f aca="false">'F&amp;B · Drivers'!C41</f>
        <v>400</v>
      </c>
      <c r="E14" s="544" t="n">
        <f aca="false">'F&amp;B · Drivers'!C40*'F&amp;B · Drivers'!C41*12</f>
        <v>9600</v>
      </c>
      <c r="G14" s="565" t="s">
        <v>7726</v>
      </c>
      <c r="I14" s="6"/>
    </row>
    <row r="15" customFormat="false" ht="16.5" hidden="false" customHeight="true" outlineLevel="0" collapsed="false">
      <c r="B15" s="126" t="s">
        <v>7727</v>
      </c>
      <c r="C15" s="1366" t="n">
        <f aca="false">'F&amp;B · Drivers'!C42*12</f>
        <v>12</v>
      </c>
      <c r="D15" s="1263" t="n">
        <f aca="false">'F&amp;B · Drivers'!C43</f>
        <v>350</v>
      </c>
      <c r="E15" s="544" t="n">
        <f aca="false">'F&amp;B · Drivers'!C42*'F&amp;B · Drivers'!C43*12</f>
        <v>4200</v>
      </c>
      <c r="G15" s="565" t="s">
        <v>7728</v>
      </c>
      <c r="I15" s="6"/>
    </row>
    <row r="16" customFormat="false" ht="21.75" hidden="false" customHeight="true" outlineLevel="0" collapsed="false">
      <c r="B16" s="81" t="s">
        <v>7574</v>
      </c>
      <c r="E16" s="1446" t="n">
        <f aca="false">SUM(E14:E15)</f>
        <v>13800</v>
      </c>
      <c r="I16" s="6"/>
    </row>
    <row r="17" customFormat="false" ht="15" hidden="false" customHeight="true" outlineLevel="0" collapsed="false">
      <c r="B17" s="6"/>
      <c r="I17" s="6"/>
    </row>
    <row r="18" customFormat="false" ht="48.75" hidden="false" customHeight="true" outlineLevel="0" collapsed="false">
      <c r="B18" s="555" t="s">
        <v>7729</v>
      </c>
      <c r="C18" s="555"/>
      <c r="D18" s="555"/>
      <c r="E18" s="555"/>
      <c r="F18" s="555"/>
      <c r="G18" s="555"/>
      <c r="H18" s="555"/>
      <c r="I18" s="6"/>
    </row>
    <row r="19" customFormat="false" ht="19.5" hidden="false" customHeight="true" outlineLevel="0" collapsed="false">
      <c r="B19" s="97" t="s">
        <v>1658</v>
      </c>
      <c r="C19" s="98" t="s">
        <v>7713</v>
      </c>
      <c r="D19" s="98" t="s">
        <v>7714</v>
      </c>
      <c r="E19" s="98" t="s">
        <v>4770</v>
      </c>
      <c r="G19" s="551" t="s">
        <v>3508</v>
      </c>
      <c r="I19" s="6"/>
    </row>
    <row r="20" customFormat="false" ht="16.5" hidden="false" customHeight="true" outlineLevel="0" collapsed="false">
      <c r="B20" s="126" t="s">
        <v>7730</v>
      </c>
      <c r="C20" s="1366" t="n">
        <f aca="false">'F&amp;B · Drivers'!C52</f>
        <v>23760</v>
      </c>
      <c r="D20" s="1263" t="n">
        <f aca="false">'F&amp;B · Drivers'!C39</f>
        <v>10</v>
      </c>
      <c r="E20" s="544" t="n">
        <f aca="false">'F&amp;B · Drivers'!C52*'F&amp;B · Drivers'!C39</f>
        <v>237600</v>
      </c>
      <c r="G20" s="565" t="s">
        <v>7731</v>
      </c>
      <c r="I20" s="6"/>
    </row>
    <row r="21" customFormat="false" ht="21.75" hidden="false" customHeight="true" outlineLevel="0" collapsed="false">
      <c r="B21" s="81" t="s">
        <v>7732</v>
      </c>
      <c r="E21" s="1446" t="n">
        <f aca="false">E20+'F&amp;B · Drivers'!C132</f>
        <v>252000</v>
      </c>
      <c r="G21" s="1269" t="s">
        <v>7733</v>
      </c>
      <c r="I21" s="6"/>
    </row>
    <row r="22" customFormat="false" ht="15" hidden="false" customHeight="true" outlineLevel="0" collapsed="false">
      <c r="B22" s="6"/>
      <c r="I22" s="6"/>
    </row>
    <row r="23" customFormat="false" ht="33.75" hidden="false" customHeight="true" outlineLevel="0" collapsed="false">
      <c r="B23" s="96" t="s">
        <v>7734</v>
      </c>
      <c r="C23" s="96"/>
      <c r="D23" s="96"/>
      <c r="E23" s="96"/>
      <c r="F23" s="96"/>
      <c r="G23" s="96"/>
      <c r="H23" s="96"/>
      <c r="I23" s="6"/>
    </row>
    <row r="24" customFormat="false" ht="19.5" hidden="false" customHeight="true" outlineLevel="0" collapsed="false">
      <c r="B24" s="97" t="s">
        <v>1658</v>
      </c>
      <c r="C24" s="98" t="s">
        <v>7713</v>
      </c>
      <c r="D24" s="98" t="s">
        <v>7714</v>
      </c>
      <c r="E24" s="98" t="s">
        <v>4770</v>
      </c>
      <c r="G24" s="551" t="s">
        <v>3508</v>
      </c>
      <c r="I24" s="6"/>
    </row>
    <row r="25" customFormat="false" ht="16.5" hidden="false" customHeight="true" outlineLevel="0" collapsed="false">
      <c r="B25" s="113" t="s">
        <v>7735</v>
      </c>
      <c r="C25" s="1366" t="n">
        <f aca="false">'F&amp;B · Drivers'!C53</f>
        <v>480</v>
      </c>
      <c r="D25" s="1263" t="n">
        <f aca="false">'F&amp;B · Drivers'!C46</f>
        <v>25</v>
      </c>
      <c r="E25" s="544" t="n">
        <f aca="false">'F&amp;B · Drivers'!C53*'F&amp;B · Drivers'!C46</f>
        <v>12000</v>
      </c>
      <c r="G25" s="565" t="s">
        <v>7736</v>
      </c>
      <c r="I25" s="6"/>
    </row>
    <row r="26" customFormat="false" ht="21.75" hidden="false" customHeight="true" outlineLevel="0" collapsed="false">
      <c r="B26" s="81" t="s">
        <v>7737</v>
      </c>
      <c r="E26" s="1446" t="n">
        <f aca="false">E25</f>
        <v>12000</v>
      </c>
      <c r="I26" s="6"/>
    </row>
    <row r="27" customFormat="false" ht="15" hidden="false" customHeight="true" outlineLevel="0" collapsed="false">
      <c r="B27" s="6"/>
      <c r="I27" s="6"/>
    </row>
    <row r="28" customFormat="false" ht="21.75" hidden="false" customHeight="true" outlineLevel="0" collapsed="false">
      <c r="B28" s="51" t="s">
        <v>7738</v>
      </c>
      <c r="C28" s="51"/>
      <c r="D28" s="51"/>
      <c r="E28" s="51"/>
      <c r="F28" s="51"/>
      <c r="G28" s="51"/>
      <c r="H28" s="51"/>
      <c r="I28" s="6"/>
    </row>
    <row r="29" customFormat="false" ht="27.75" hidden="false" customHeight="true" outlineLevel="0" collapsed="false">
      <c r="B29" s="1266" t="s">
        <v>7739</v>
      </c>
      <c r="E29" s="578" t="n">
        <f aca="false">E10+E16+E21+E26+E48</f>
        <v>789714.3</v>
      </c>
      <c r="I29" s="6"/>
    </row>
    <row r="30" customFormat="false" ht="15" hidden="false" customHeight="true" outlineLevel="0" collapsed="false">
      <c r="B30" s="6"/>
      <c r="I30" s="6"/>
    </row>
    <row r="31" customFormat="false" ht="15" hidden="false" customHeight="true" outlineLevel="0" collapsed="false">
      <c r="B31" s="6"/>
      <c r="I31" s="6"/>
    </row>
    <row r="32" customFormat="false" ht="21.75" hidden="false" customHeight="true" outlineLevel="0" collapsed="false">
      <c r="B32" s="575" t="s">
        <v>3443</v>
      </c>
      <c r="C32" s="575"/>
      <c r="D32" s="575"/>
      <c r="E32" s="575"/>
      <c r="F32" s="575"/>
      <c r="G32" s="575"/>
      <c r="H32" s="575"/>
      <c r="I32" s="6"/>
    </row>
    <row r="33" customFormat="false" ht="15" hidden="false" customHeight="true" outlineLevel="0" collapsed="false">
      <c r="B33" s="97" t="s">
        <v>3445</v>
      </c>
      <c r="C33" s="98" t="s">
        <v>2771</v>
      </c>
      <c r="D33" s="98" t="s">
        <v>1052</v>
      </c>
      <c r="I33" s="6"/>
    </row>
    <row r="34" customFormat="false" ht="15" hidden="false" customHeight="true" outlineLevel="0" collapsed="false">
      <c r="B34" s="113" t="s">
        <v>7740</v>
      </c>
      <c r="C34" s="571" t="n">
        <f aca="false">E10</f>
        <v>382554.3</v>
      </c>
      <c r="D34" s="594" t="n">
        <f aca="false">E10/$E$29</f>
        <v>0.484421138125522</v>
      </c>
      <c r="I34" s="6"/>
    </row>
    <row r="35" customFormat="false" ht="15" hidden="false" customHeight="true" outlineLevel="0" collapsed="false">
      <c r="B35" s="113" t="s">
        <v>7483</v>
      </c>
      <c r="C35" s="571" t="n">
        <f aca="false">E16</f>
        <v>13800</v>
      </c>
      <c r="D35" s="594" t="n">
        <f aca="false">E16/$E$29</f>
        <v>0.0174746740688373</v>
      </c>
      <c r="I35" s="6"/>
    </row>
    <row r="36" customFormat="false" ht="15" hidden="false" customHeight="true" outlineLevel="0" collapsed="false">
      <c r="B36" s="113" t="s">
        <v>7741</v>
      </c>
      <c r="C36" s="571" t="n">
        <f aca="false">E21</f>
        <v>252000</v>
      </c>
      <c r="D36" s="594" t="n">
        <f aca="false">E21/$E$29</f>
        <v>0.319102743865725</v>
      </c>
      <c r="I36" s="6"/>
    </row>
    <row r="37" customFormat="false" ht="15" hidden="false" customHeight="true" outlineLevel="0" collapsed="false">
      <c r="B37" s="113" t="s">
        <v>7742</v>
      </c>
      <c r="C37" s="571" t="n">
        <f aca="false">E26</f>
        <v>12000</v>
      </c>
      <c r="D37" s="594" t="n">
        <f aca="false">E26/$E$29</f>
        <v>0.0151953687555107</v>
      </c>
      <c r="I37" s="6"/>
    </row>
    <row r="38" customFormat="false" ht="15" hidden="false" customHeight="true" outlineLevel="0" collapsed="false">
      <c r="B38" s="113" t="s">
        <v>7743</v>
      </c>
      <c r="C38" s="571" t="n">
        <f aca="false">E48</f>
        <v>129360</v>
      </c>
      <c r="D38" s="594" t="n">
        <f aca="false">E48/$E$29</f>
        <v>0.163806075184405</v>
      </c>
      <c r="I38" s="6"/>
    </row>
    <row r="39" customFormat="false" ht="21.75" hidden="false" customHeight="true" outlineLevel="0" collapsed="false">
      <c r="B39" s="123" t="s">
        <v>7744</v>
      </c>
      <c r="C39" s="123"/>
      <c r="D39" s="123"/>
      <c r="E39" s="123"/>
      <c r="F39" s="123"/>
      <c r="G39" s="123"/>
      <c r="H39" s="123"/>
      <c r="I39" s="6"/>
    </row>
    <row r="40" customFormat="false" ht="108.75" hidden="false" customHeight="true" outlineLevel="0" collapsed="false">
      <c r="B40" s="1466" t="s">
        <v>7745</v>
      </c>
      <c r="C40" s="1466"/>
      <c r="D40" s="1466"/>
      <c r="E40" s="1466"/>
      <c r="F40" s="1466"/>
      <c r="G40" s="1466"/>
      <c r="I40" s="6"/>
    </row>
    <row r="41" customFormat="false" ht="15" hidden="false" customHeight="true" outlineLevel="0" collapsed="false">
      <c r="B41" s="1466"/>
      <c r="C41" s="1466"/>
      <c r="D41" s="1466"/>
      <c r="E41" s="1466"/>
      <c r="F41" s="1466"/>
      <c r="G41" s="1466"/>
      <c r="I41" s="6"/>
    </row>
    <row r="42" customFormat="false" ht="15" hidden="false" customHeight="true" outlineLevel="0" collapsed="false">
      <c r="B42" s="1466"/>
      <c r="C42" s="1466"/>
      <c r="D42" s="1466"/>
      <c r="E42" s="1466"/>
      <c r="F42" s="1466"/>
      <c r="G42" s="1466"/>
      <c r="I42" s="6"/>
    </row>
    <row r="43" customFormat="false" ht="15" hidden="false" customHeight="true" outlineLevel="0" collapsed="false">
      <c r="B43" s="6"/>
      <c r="I43" s="6"/>
    </row>
    <row r="44" customFormat="false" ht="48.75" hidden="false" customHeight="true" outlineLevel="0" collapsed="false">
      <c r="B44" s="96" t="s">
        <v>7746</v>
      </c>
      <c r="C44" s="96"/>
      <c r="D44" s="96"/>
      <c r="E44" s="96"/>
      <c r="F44" s="96"/>
      <c r="G44" s="96"/>
      <c r="I44" s="6"/>
    </row>
    <row r="45" customFormat="false" ht="19.5" hidden="false" customHeight="true" outlineLevel="0" collapsed="false">
      <c r="B45" s="97" t="s">
        <v>7076</v>
      </c>
      <c r="C45" s="98" t="s">
        <v>7747</v>
      </c>
      <c r="D45" s="98" t="s">
        <v>7748</v>
      </c>
      <c r="E45" s="98" t="s">
        <v>4770</v>
      </c>
      <c r="G45" s="551" t="s">
        <v>3508</v>
      </c>
      <c r="I45" s="6"/>
    </row>
    <row r="46" customFormat="false" ht="16.5" hidden="false" customHeight="true" outlineLevel="0" collapsed="false">
      <c r="B46" s="113" t="s">
        <v>7670</v>
      </c>
      <c r="C46" s="1366" t="n">
        <f aca="false">'F&amp;B · Drivers'!C118*'F&amp;B · Drivers'!C120</f>
        <v>16800</v>
      </c>
      <c r="D46" s="1432" t="n">
        <f aca="false">'F&amp;B · Drivers'!C119</f>
        <v>11</v>
      </c>
      <c r="E46" s="1263" t="n">
        <f aca="false">'F&amp;B · Drivers'!C129</f>
        <v>184800</v>
      </c>
      <c r="G46" s="565" t="s">
        <v>7749</v>
      </c>
      <c r="I46" s="6"/>
    </row>
    <row r="47" customFormat="false" ht="16.5" hidden="false" customHeight="true" outlineLevel="0" collapsed="false">
      <c r="B47" s="1467" t="s">
        <v>7750</v>
      </c>
      <c r="E47" s="1375" t="n">
        <f aca="false">-'F&amp;B · Drivers'!C130</f>
        <v>-55440</v>
      </c>
      <c r="G47" s="565" t="s">
        <v>7751</v>
      </c>
      <c r="I47" s="6"/>
    </row>
    <row r="48" customFormat="false" ht="21.75" hidden="false" customHeight="true" outlineLevel="0" collapsed="false">
      <c r="B48" s="81" t="s">
        <v>7752</v>
      </c>
      <c r="E48" s="1446" t="n">
        <f aca="false">E46+E47</f>
        <v>129360</v>
      </c>
      <c r="I48" s="6"/>
    </row>
    <row r="49" customFormat="false" ht="15" hidden="false" customHeight="true" outlineLevel="0" collapsed="false">
      <c r="B49" s="6"/>
      <c r="I49" s="6"/>
    </row>
    <row r="50" customFormat="false" ht="15" hidden="false" customHeight="true" outlineLevel="0" collapsed="false">
      <c r="B50" s="6"/>
      <c r="I50" s="6"/>
    </row>
    <row r="51" customFormat="false" ht="21.75" hidden="false" customHeight="true" outlineLevel="0" collapsed="false">
      <c r="B51" s="51" t="s">
        <v>7753</v>
      </c>
      <c r="C51" s="51"/>
      <c r="D51" s="51"/>
      <c r="E51" s="51"/>
      <c r="F51" s="51"/>
      <c r="G51" s="51"/>
      <c r="H51" s="51"/>
      <c r="I51" s="6"/>
    </row>
    <row r="52" customFormat="false" ht="120" hidden="false" customHeight="true" outlineLevel="0" collapsed="false">
      <c r="B52" s="602" t="s">
        <v>7754</v>
      </c>
      <c r="C52" s="602"/>
      <c r="D52" s="602"/>
      <c r="E52" s="602"/>
      <c r="F52" s="602"/>
      <c r="G52" s="602"/>
      <c r="H52" s="602"/>
      <c r="I52" s="6"/>
    </row>
  </sheetData>
  <mergeCells count="14">
    <mergeCell ref="B2:F2"/>
    <mergeCell ref="G2:J2"/>
    <mergeCell ref="B3:J3"/>
    <mergeCell ref="B5:H5"/>
    <mergeCell ref="B12:H12"/>
    <mergeCell ref="B18:H18"/>
    <mergeCell ref="B23:H23"/>
    <mergeCell ref="B28:H28"/>
    <mergeCell ref="B32:H32"/>
    <mergeCell ref="B39:H39"/>
    <mergeCell ref="B40:G42"/>
    <mergeCell ref="B44:G44"/>
    <mergeCell ref="B51:H51"/>
    <mergeCell ref="B52:H52"/>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1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7755</v>
      </c>
      <c r="C2" s="878"/>
      <c r="D2" s="878"/>
      <c r="E2" s="878"/>
      <c r="F2" s="878"/>
      <c r="G2" s="1023" t="s">
        <v>3432</v>
      </c>
      <c r="H2" s="1023"/>
      <c r="I2" s="1023"/>
      <c r="J2" s="1023"/>
    </row>
    <row r="3" customFormat="false" ht="33.75" hidden="false" customHeight="true" outlineLevel="0" collapsed="false">
      <c r="B3" s="90" t="s">
        <v>7756</v>
      </c>
      <c r="C3" s="90"/>
      <c r="D3" s="90"/>
      <c r="E3" s="90"/>
      <c r="F3" s="90"/>
      <c r="G3" s="90"/>
      <c r="H3" s="90"/>
      <c r="I3" s="90"/>
      <c r="J3" s="90"/>
    </row>
    <row r="4" customFormat="false" ht="15" hidden="false" customHeight="true" outlineLevel="0" collapsed="false">
      <c r="B4" s="6"/>
      <c r="G4" s="6"/>
    </row>
    <row r="5" customFormat="false" ht="33.75" hidden="false" customHeight="true" outlineLevel="0" collapsed="false">
      <c r="B5" s="96" t="s">
        <v>7757</v>
      </c>
      <c r="C5" s="96"/>
      <c r="D5" s="96"/>
      <c r="E5" s="96"/>
      <c r="F5" s="96"/>
      <c r="G5" s="96"/>
      <c r="H5" s="96"/>
    </row>
    <row r="6" customFormat="false" ht="19.5" hidden="false" customHeight="true" outlineLevel="0" collapsed="false">
      <c r="B6" s="99" t="s">
        <v>4929</v>
      </c>
      <c r="C6" s="98" t="s">
        <v>2771</v>
      </c>
      <c r="D6" s="98" t="s">
        <v>4930</v>
      </c>
      <c r="E6" s="98" t="s">
        <v>7758</v>
      </c>
      <c r="F6" s="98" t="s">
        <v>4016</v>
      </c>
      <c r="G6" s="99" t="s">
        <v>4932</v>
      </c>
      <c r="H6" s="98" t="s">
        <v>778</v>
      </c>
    </row>
    <row r="7" customFormat="false" ht="16.5" hidden="false" customHeight="true" outlineLevel="0" collapsed="false">
      <c r="B7" s="113" t="s">
        <v>7759</v>
      </c>
      <c r="C7" s="1277" t="n">
        <f aca="false">'F&amp;B · Revenue'!E10*'F&amp;B · Drivers'!C69</f>
        <v>122417.376</v>
      </c>
      <c r="D7" s="593" t="n">
        <f aca="false">C7/'F&amp;B · Revenue'!E29</f>
        <v>0.155014764200167</v>
      </c>
      <c r="E7" s="1271" t="n">
        <f aca="false">C7/IF('F&amp;B · Drivers'!C54=0,1,'F&amp;B · Drivers'!C54)</f>
        <v>2.71358408256637</v>
      </c>
      <c r="F7" s="821" t="s">
        <v>4027</v>
      </c>
      <c r="G7" s="1279" t="n">
        <v>1</v>
      </c>
      <c r="H7" s="565" t="s">
        <v>7760</v>
      </c>
    </row>
    <row r="8" customFormat="false" ht="16.5" hidden="false" customHeight="true" outlineLevel="0" collapsed="false">
      <c r="B8" s="113" t="s">
        <v>7761</v>
      </c>
      <c r="C8" s="1277" t="n">
        <f aca="false">'F&amp;B · Revenue'!E16*'F&amp;B · Drivers'!C70</f>
        <v>4830</v>
      </c>
      <c r="D8" s="593" t="n">
        <f aca="false">C8/'F&amp;B · Revenue'!E29</f>
        <v>0.00611613592409306</v>
      </c>
      <c r="E8" s="1271" t="n">
        <f aca="false">C8/IF('F&amp;B · Drivers'!C54=0,1,'F&amp;B · Drivers'!C54)</f>
        <v>0.107064957174017</v>
      </c>
      <c r="F8" s="821" t="s">
        <v>4027</v>
      </c>
      <c r="G8" s="1279" t="n">
        <v>1</v>
      </c>
      <c r="H8" s="565" t="s">
        <v>7762</v>
      </c>
    </row>
    <row r="9" customFormat="false" ht="16.5" hidden="false" customHeight="true" outlineLevel="0" collapsed="false">
      <c r="B9" s="113" t="s">
        <v>7763</v>
      </c>
      <c r="C9" s="1277" t="n">
        <f aca="false">'F&amp;B · Revenue'!E21*'F&amp;B · Drivers'!C71</f>
        <v>75600</v>
      </c>
      <c r="D9" s="593" t="n">
        <f aca="false">C9/'F&amp;B · Revenue'!E29</f>
        <v>0.0957308231597174</v>
      </c>
      <c r="E9" s="1271" t="n">
        <f aca="false">C9/IF('F&amp;B · Drivers'!C54=0,1,'F&amp;B · Drivers'!C54)</f>
        <v>1.67579932968027</v>
      </c>
      <c r="F9" s="821" t="s">
        <v>4027</v>
      </c>
      <c r="G9" s="1279" t="n">
        <v>1</v>
      </c>
      <c r="H9" s="565" t="s">
        <v>7764</v>
      </c>
    </row>
    <row r="10" customFormat="false" ht="16.5" hidden="false" customHeight="true" outlineLevel="0" collapsed="false">
      <c r="B10" s="113" t="s">
        <v>7765</v>
      </c>
      <c r="C10" s="1277" t="n">
        <f aca="false">'F&amp;B · Revenue'!E26*'F&amp;B · Drivers'!C72</f>
        <v>3960</v>
      </c>
      <c r="D10" s="593" t="n">
        <f aca="false">C10/'F&amp;B · Revenue'!E29</f>
        <v>0.00501447168931853</v>
      </c>
      <c r="E10" s="1271" t="n">
        <f aca="false">C10/IF('F&amp;B · Drivers'!C54=0,1,'F&amp;B · Drivers'!C54)</f>
        <v>0.087779964888014</v>
      </c>
      <c r="F10" s="821" t="s">
        <v>4027</v>
      </c>
      <c r="G10" s="1279" t="n">
        <v>1</v>
      </c>
      <c r="H10" s="565" t="s">
        <v>7766</v>
      </c>
    </row>
    <row r="11" customFormat="false" ht="15" hidden="false" customHeight="true" outlineLevel="0" collapsed="false">
      <c r="B11" s="113" t="s">
        <v>7767</v>
      </c>
      <c r="C11" s="1277" t="n">
        <f aca="false">'F&amp;B · Drivers'!C129*'F&amp;B · Drivers'!C73</f>
        <v>64680</v>
      </c>
      <c r="D11" s="593" t="n">
        <f aca="false">C11/'F&amp;B · Revenue'!E29</f>
        <v>0.0819030375922026</v>
      </c>
      <c r="E11" s="1271" t="n">
        <f aca="false">C11/IF('F&amp;B · Drivers'!C54=0,1,'F&amp;B · Drivers'!C54)</f>
        <v>1.43373942650423</v>
      </c>
      <c r="F11" s="821" t="s">
        <v>4027</v>
      </c>
      <c r="G11" s="1279" t="n">
        <v>1</v>
      </c>
      <c r="H11" s="565" t="s">
        <v>7768</v>
      </c>
    </row>
    <row r="12" customFormat="false" ht="21.75" hidden="false" customHeight="true" outlineLevel="0" collapsed="false">
      <c r="B12" s="575" t="s">
        <v>7769</v>
      </c>
      <c r="C12" s="575"/>
      <c r="D12" s="575"/>
      <c r="E12" s="575"/>
      <c r="F12" s="575"/>
      <c r="G12" s="575"/>
      <c r="H12" s="575"/>
    </row>
    <row r="13" customFormat="false" ht="16.5" hidden="false" customHeight="true" outlineLevel="0" collapsed="false">
      <c r="B13" s="113" t="s">
        <v>7770</v>
      </c>
      <c r="C13" s="1277" t="n">
        <f aca="false">'F&amp;B · Drivers'!C75</f>
        <v>40000</v>
      </c>
      <c r="D13" s="593" t="n">
        <f aca="false">C13/'F&amp;B · Revenue'!E29</f>
        <v>0.0506512291850356</v>
      </c>
      <c r="E13" s="1271" t="n">
        <f aca="false">C13/IF('F&amp;B · Drivers'!C54=0,1,'F&amp;B · Drivers'!C54)</f>
        <v>0.886666312000142</v>
      </c>
      <c r="F13" s="455" t="s">
        <v>3663</v>
      </c>
      <c r="G13" s="1279" t="n">
        <v>0</v>
      </c>
      <c r="H13" s="565" t="s">
        <v>7013</v>
      </c>
    </row>
    <row r="14" customFormat="false" ht="16.5" hidden="false" customHeight="true" outlineLevel="0" collapsed="false">
      <c r="B14" s="113" t="s">
        <v>7771</v>
      </c>
      <c r="C14" s="1277" t="n">
        <f aca="false">'F&amp;B · Drivers'!C76</f>
        <v>21600</v>
      </c>
      <c r="D14" s="593" t="n">
        <f aca="false">C14/'F&amp;B · Revenue'!E29</f>
        <v>0.0273516637599193</v>
      </c>
      <c r="E14" s="1271" t="n">
        <f aca="false">C14/IF('F&amp;B · Drivers'!C54=0,1,'F&amp;B · Drivers'!C54)</f>
        <v>0.478799808480077</v>
      </c>
      <c r="F14" s="455" t="s">
        <v>3663</v>
      </c>
      <c r="G14" s="1279" t="n">
        <v>0</v>
      </c>
      <c r="H14" s="565" t="s">
        <v>7772</v>
      </c>
    </row>
    <row r="15" customFormat="false" ht="16.5" hidden="false" customHeight="true" outlineLevel="0" collapsed="false">
      <c r="B15" s="113" t="s">
        <v>7773</v>
      </c>
      <c r="C15" s="1277" t="n">
        <f aca="false">'F&amp;B · Drivers'!C77</f>
        <v>48000</v>
      </c>
      <c r="D15" s="593" t="n">
        <f aca="false">C15/'F&amp;B · Revenue'!E29</f>
        <v>0.0607814750220428</v>
      </c>
      <c r="E15" s="1271" t="n">
        <f aca="false">C15/IF('F&amp;B · Drivers'!C54=0,1,'F&amp;B · Drivers'!C54)</f>
        <v>1.06399957440017</v>
      </c>
      <c r="F15" s="455" t="s">
        <v>3663</v>
      </c>
      <c r="G15" s="1279" t="n">
        <v>0</v>
      </c>
      <c r="H15" s="565" t="s">
        <v>7774</v>
      </c>
    </row>
    <row r="16" customFormat="false" ht="16.5" hidden="false" customHeight="true" outlineLevel="0" collapsed="false">
      <c r="B16" s="113" t="s">
        <v>7775</v>
      </c>
      <c r="C16" s="1277" t="n">
        <f aca="false">'F&amp;B · Drivers'!C78</f>
        <v>32400</v>
      </c>
      <c r="D16" s="593" t="n">
        <f aca="false">C16/'F&amp;B · Revenue'!E29</f>
        <v>0.0410274956398789</v>
      </c>
      <c r="E16" s="1271" t="n">
        <f aca="false">C16/IF('F&amp;B · Drivers'!C54=0,1,'F&amp;B · Drivers'!C54)</f>
        <v>0.718199712720115</v>
      </c>
      <c r="F16" s="455" t="s">
        <v>3663</v>
      </c>
      <c r="G16" s="1279" t="n">
        <v>0</v>
      </c>
      <c r="H16" s="565" t="s">
        <v>7776</v>
      </c>
    </row>
    <row r="17" customFormat="false" ht="16.5" hidden="false" customHeight="true" outlineLevel="0" collapsed="false">
      <c r="B17" s="113" t="s">
        <v>4944</v>
      </c>
      <c r="C17" s="1277" t="n">
        <v>0</v>
      </c>
      <c r="D17" s="593" t="n">
        <f aca="false">C17/'F&amp;B · Revenue'!E29</f>
        <v>0</v>
      </c>
      <c r="E17" s="1271" t="n">
        <f aca="false">C17/IF('F&amp;B · Drivers'!C54=0,1,'F&amp;B · Drivers'!C54)</f>
        <v>0</v>
      </c>
      <c r="F17" s="455" t="s">
        <v>3663</v>
      </c>
      <c r="G17" s="1279" t="n">
        <v>0</v>
      </c>
      <c r="H17" s="565" t="s">
        <v>7777</v>
      </c>
    </row>
    <row r="18" customFormat="false" ht="16.5" hidden="false" customHeight="true" outlineLevel="0" collapsed="false">
      <c r="B18" s="113" t="s">
        <v>2234</v>
      </c>
      <c r="C18" s="1277" t="n">
        <f aca="false">'F&amp;B · Drivers'!C80</f>
        <v>24000</v>
      </c>
      <c r="D18" s="593" t="n">
        <f aca="false">C18/'F&amp;B · Revenue'!E29</f>
        <v>0.0303907375110214</v>
      </c>
      <c r="E18" s="1271" t="n">
        <f aca="false">C18/IF('F&amp;B · Drivers'!C54=0,1,'F&amp;B · Drivers'!C54)</f>
        <v>0.531999787200085</v>
      </c>
      <c r="F18" s="455" t="s">
        <v>3663</v>
      </c>
      <c r="G18" s="1279" t="n">
        <v>0</v>
      </c>
      <c r="H18" s="565" t="s">
        <v>7778</v>
      </c>
    </row>
    <row r="19" customFormat="false" ht="16.5" hidden="false" customHeight="true" outlineLevel="0" collapsed="false">
      <c r="B19" s="113" t="s">
        <v>7123</v>
      </c>
      <c r="C19" s="1277" t="n">
        <v>0</v>
      </c>
      <c r="D19" s="593" t="n">
        <f aca="false">C19/'F&amp;B · Revenue'!E29</f>
        <v>0</v>
      </c>
      <c r="E19" s="1271" t="n">
        <f aca="false">C19/IF('F&amp;B · Drivers'!C54=0,1,'F&amp;B · Drivers'!C54)</f>
        <v>0</v>
      </c>
      <c r="F19" s="455" t="s">
        <v>3663</v>
      </c>
      <c r="G19" s="1279" t="n">
        <v>0</v>
      </c>
      <c r="H19" s="565" t="s">
        <v>7779</v>
      </c>
    </row>
    <row r="20" customFormat="false" ht="16.5" hidden="false" customHeight="true" outlineLevel="0" collapsed="false">
      <c r="B20" s="113" t="s">
        <v>7780</v>
      </c>
      <c r="C20" s="1277" t="n">
        <f aca="false">'F&amp;B · Drivers'!C82</f>
        <v>18000</v>
      </c>
      <c r="D20" s="593" t="n">
        <f aca="false">C20/'F&amp;B · Revenue'!E29</f>
        <v>0.022793053133266</v>
      </c>
      <c r="E20" s="1271" t="n">
        <f aca="false">C20/IF('F&amp;B · Drivers'!C54=0,1,'F&amp;B · Drivers'!C54)</f>
        <v>0.398999840400064</v>
      </c>
      <c r="F20" s="455" t="s">
        <v>3663</v>
      </c>
      <c r="G20" s="1279" t="n">
        <v>0</v>
      </c>
      <c r="H20" s="565" t="s">
        <v>7781</v>
      </c>
    </row>
    <row r="21" customFormat="false" ht="16.5" hidden="false" customHeight="true" outlineLevel="0" collapsed="false">
      <c r="B21" s="113" t="s">
        <v>7782</v>
      </c>
      <c r="C21" s="1277" t="n">
        <f aca="false">'F&amp;B · Drivers'!C83</f>
        <v>6600</v>
      </c>
      <c r="D21" s="593" t="n">
        <f aca="false">C21/'F&amp;B · Revenue'!E29</f>
        <v>0.00835745281553088</v>
      </c>
      <c r="E21" s="1271" t="n">
        <f aca="false">C21/IF('F&amp;B · Drivers'!C54=0,1,'F&amp;B · Drivers'!C54)</f>
        <v>0.146299941480023</v>
      </c>
      <c r="F21" s="455" t="s">
        <v>3663</v>
      </c>
      <c r="G21" s="1279" t="n">
        <v>0</v>
      </c>
      <c r="H21" s="565" t="s">
        <v>7783</v>
      </c>
    </row>
    <row r="22" customFormat="false" ht="16.5" hidden="false" customHeight="true" outlineLevel="0" collapsed="false">
      <c r="B22" s="113" t="s">
        <v>7784</v>
      </c>
      <c r="C22" s="1277" t="n">
        <v>0</v>
      </c>
      <c r="D22" s="593" t="n">
        <f aca="false">C22/'F&amp;B · Revenue'!E29</f>
        <v>0</v>
      </c>
      <c r="E22" s="1271" t="n">
        <f aca="false">C22/IF('F&amp;B · Drivers'!C54=0,1,'F&amp;B · Drivers'!C54)</f>
        <v>0</v>
      </c>
      <c r="F22" s="455" t="s">
        <v>3663</v>
      </c>
      <c r="G22" s="1279" t="n">
        <v>0</v>
      </c>
      <c r="H22" s="565" t="s">
        <v>7785</v>
      </c>
    </row>
    <row r="23" customFormat="false" ht="15" hidden="false" customHeight="true" outlineLevel="0" collapsed="false">
      <c r="B23" s="113" t="s">
        <v>7786</v>
      </c>
      <c r="C23" s="1277" t="n">
        <f aca="false">'F&amp;B · Drivers'!C85</f>
        <v>10800</v>
      </c>
      <c r="D23" s="593" t="n">
        <f aca="false">C23/'F&amp;B · Revenue'!E29</f>
        <v>0.0136758318799596</v>
      </c>
      <c r="E23" s="1271" t="n">
        <f aca="false">C23/IF('F&amp;B · Drivers'!C54=0,1,'F&amp;B · Drivers'!C54)</f>
        <v>0.239399904240038</v>
      </c>
      <c r="F23" s="455" t="s">
        <v>3663</v>
      </c>
      <c r="G23" s="1279" t="n">
        <v>0</v>
      </c>
      <c r="H23" s="565" t="s">
        <v>7787</v>
      </c>
    </row>
    <row r="24" customFormat="false" ht="21.75" hidden="false" customHeight="true" outlineLevel="0" collapsed="false">
      <c r="B24" s="96" t="s">
        <v>7788</v>
      </c>
      <c r="C24" s="96"/>
      <c r="D24" s="96"/>
      <c r="E24" s="96"/>
      <c r="F24" s="96"/>
      <c r="G24" s="96"/>
      <c r="H24" s="96"/>
    </row>
    <row r="25" customFormat="false" ht="16.5" hidden="false" customHeight="true" outlineLevel="0" collapsed="false">
      <c r="B25" s="113" t="s">
        <v>7789</v>
      </c>
      <c r="C25" s="1277" t="n">
        <f aca="false">'F&amp;B · Drivers'!C87*'F&amp;B · Drivers'!C54</f>
        <v>13533.84</v>
      </c>
      <c r="D25" s="593" t="n">
        <f aca="false">C25/'F&amp;B · Revenue'!E29</f>
        <v>0.0171376407898401</v>
      </c>
      <c r="E25" s="1271" t="n">
        <f aca="false">C25/IF('F&amp;B · Drivers'!C54=0,1,'F&amp;B · Drivers'!C54)</f>
        <v>0.3</v>
      </c>
      <c r="F25" s="821" t="s">
        <v>4027</v>
      </c>
      <c r="G25" s="1279" t="n">
        <v>1</v>
      </c>
      <c r="H25" s="565" t="s">
        <v>7790</v>
      </c>
    </row>
    <row r="26" customFormat="false" ht="16.5" hidden="false" customHeight="true" outlineLevel="0" collapsed="false">
      <c r="B26" s="113" t="s">
        <v>7791</v>
      </c>
      <c r="C26" s="1277" t="n">
        <v>0</v>
      </c>
      <c r="D26" s="593" t="n">
        <f aca="false">C26/'F&amp;B · Revenue'!E29</f>
        <v>0</v>
      </c>
      <c r="E26" s="1271" t="n">
        <f aca="false">C26/IF('F&amp;B · Drivers'!C54=0,1,'F&amp;B · Drivers'!C54)</f>
        <v>0</v>
      </c>
      <c r="F26" s="821" t="s">
        <v>4027</v>
      </c>
      <c r="G26" s="1279" t="n">
        <v>1</v>
      </c>
      <c r="H26" s="565" t="s">
        <v>7792</v>
      </c>
    </row>
    <row r="27" customFormat="false" ht="15" hidden="false" customHeight="true" outlineLevel="0" collapsed="false">
      <c r="B27" s="126" t="s">
        <v>7793</v>
      </c>
      <c r="C27" s="1277" t="n">
        <v>0</v>
      </c>
      <c r="D27" s="593" t="n">
        <f aca="false">C27/'F&amp;B · Revenue'!E29</f>
        <v>0</v>
      </c>
      <c r="E27" s="1271" t="n">
        <f aca="false">C27/IF('F&amp;B · Drivers'!C54=0,1,'F&amp;B · Drivers'!C54)</f>
        <v>0</v>
      </c>
      <c r="F27" s="455" t="s">
        <v>3663</v>
      </c>
      <c r="G27" s="1279" t="n">
        <v>0</v>
      </c>
      <c r="H27" s="565" t="s">
        <v>7794</v>
      </c>
    </row>
    <row r="28" customFormat="false" ht="16.5" hidden="false" customHeight="true" outlineLevel="0" collapsed="false">
      <c r="B28" s="113" t="s">
        <v>7795</v>
      </c>
      <c r="C28" s="1277" t="n">
        <f aca="false">'F&amp;B · Drivers'!C91*'F&amp;B · Drivers'!C54</f>
        <v>9022.56</v>
      </c>
      <c r="D28" s="593" t="n">
        <f aca="false">C28/'F&amp;B · Revenue'!E29</f>
        <v>0.0114250938598934</v>
      </c>
      <c r="E28" s="1271" t="n">
        <f aca="false">C28/IF('F&amp;B · Drivers'!C54=0,1,'F&amp;B · Drivers'!C54)</f>
        <v>0.2</v>
      </c>
      <c r="F28" s="820" t="s">
        <v>4029</v>
      </c>
      <c r="G28" s="1279" t="n">
        <v>0.7</v>
      </c>
      <c r="H28" s="565" t="s">
        <v>7796</v>
      </c>
    </row>
    <row r="29" customFormat="false" ht="15" hidden="false" customHeight="true" outlineLevel="0" collapsed="false">
      <c r="B29" s="126" t="s">
        <v>7797</v>
      </c>
      <c r="C29" s="1277" t="n">
        <f aca="false">'F&amp;B · Drivers'!C92+'F&amp;B · Drivers'!C93+'F&amp;B · Drivers'!C94</f>
        <v>84000</v>
      </c>
      <c r="D29" s="593" t="n">
        <f aca="false">C29/'F&amp;B · Revenue'!E29</f>
        <v>0.106367581288575</v>
      </c>
      <c r="E29" s="1271" t="n">
        <f aca="false">C29/IF('F&amp;B · Drivers'!C54=0,1,'F&amp;B · Drivers'!C54)</f>
        <v>1.8619992552003</v>
      </c>
      <c r="F29" s="455" t="s">
        <v>3663</v>
      </c>
      <c r="G29" s="1279" t="n">
        <v>0</v>
      </c>
      <c r="H29" s="565" t="s">
        <v>7798</v>
      </c>
    </row>
    <row r="30" customFormat="false" ht="24" hidden="false" customHeight="true" outlineLevel="0" collapsed="false">
      <c r="B30" s="117" t="s">
        <v>4953</v>
      </c>
      <c r="C30" s="1436" t="n">
        <f aca="false">SUM(C7:C29)</f>
        <v>579443.776</v>
      </c>
      <c r="D30" s="1166" t="n">
        <f aca="false">C30/'F&amp;B · Revenue'!E29</f>
        <v>0.733738487450462</v>
      </c>
      <c r="G30" s="6"/>
    </row>
    <row r="31" customFormat="false" ht="15" hidden="false" customHeight="true" outlineLevel="0" collapsed="false">
      <c r="B31" s="6"/>
      <c r="G31" s="6"/>
    </row>
    <row r="32" customFormat="false" ht="33.75" hidden="false" customHeight="true" outlineLevel="0" collapsed="false">
      <c r="B32" s="96" t="s">
        <v>5922</v>
      </c>
      <c r="C32" s="96"/>
      <c r="D32" s="96"/>
      <c r="E32" s="96"/>
      <c r="F32" s="96"/>
      <c r="G32" s="96"/>
      <c r="H32" s="96"/>
    </row>
    <row r="33" customFormat="false" ht="15" hidden="false" customHeight="true" outlineLevel="0" collapsed="false">
      <c r="B33" s="81" t="s">
        <v>4957</v>
      </c>
      <c r="C33" s="406" t="n">
        <f aca="false">SUMPRODUCT(C7:C29,1-G7:G29)</f>
        <v>288106.768</v>
      </c>
      <c r="D33" s="1370" t="n">
        <f aca="false">C33/C30</f>
        <v>0.497212637244722</v>
      </c>
      <c r="G33" s="6"/>
    </row>
    <row r="34" customFormat="false" ht="15" hidden="false" customHeight="true" outlineLevel="0" collapsed="false">
      <c r="B34" s="663" t="s">
        <v>4958</v>
      </c>
      <c r="C34" s="1371" t="n">
        <f aca="false">SUMPRODUCT(C7:C29,G7:G29)</f>
        <v>291337.008</v>
      </c>
      <c r="D34" s="1370" t="n">
        <f aca="false">C34/C30</f>
        <v>0.502787362755278</v>
      </c>
      <c r="G34" s="6"/>
    </row>
    <row r="35" customFormat="false" ht="15" hidden="false" customHeight="true" outlineLevel="0" collapsed="false">
      <c r="B35" s="6"/>
      <c r="G35" s="6"/>
    </row>
    <row r="36" customFormat="false" ht="15" hidden="false" customHeight="true" outlineLevel="0" collapsed="false">
      <c r="B36" s="1076" t="s">
        <v>4959</v>
      </c>
      <c r="C36" s="1284" t="n">
        <f aca="false">C34/'F&amp;B · Revenue'!E29</f>
        <v>0.368914439057264</v>
      </c>
      <c r="G36" s="6"/>
    </row>
    <row r="37" customFormat="false" ht="15" hidden="false" customHeight="true" outlineLevel="0" collapsed="false">
      <c r="B37" s="6"/>
      <c r="G37" s="6"/>
    </row>
    <row r="38" customFormat="false" ht="15" hidden="false" customHeight="true" outlineLevel="0" collapsed="false">
      <c r="B38" s="592" t="s">
        <v>4961</v>
      </c>
      <c r="C38" s="1437" t="str">
        <f aca="false">IF(ABS((C33+C34)-C30)&lt;1,"✓ Reconciles","✗ Diff: "&amp;TEXT((C33+C34)-C30,"$#,##0"))</f>
        <v>✓ Reconciles</v>
      </c>
      <c r="G38" s="6"/>
    </row>
    <row r="39" customFormat="false" ht="15" hidden="false" customHeight="true" outlineLevel="0" collapsed="false">
      <c r="B39" s="6"/>
      <c r="G39" s="6"/>
    </row>
    <row r="40" customFormat="false" ht="21.75" hidden="false" customHeight="true" outlineLevel="0" collapsed="false">
      <c r="B40" s="72" t="s">
        <v>4069</v>
      </c>
      <c r="C40" s="72"/>
      <c r="D40" s="72"/>
      <c r="E40" s="72"/>
      <c r="F40" s="72"/>
      <c r="G40" s="72"/>
      <c r="H40" s="72"/>
    </row>
    <row r="41" customFormat="false" ht="15" hidden="false" customHeight="true" outlineLevel="0" collapsed="false">
      <c r="B41" s="6" t="s">
        <v>4962</v>
      </c>
      <c r="C41" s="1374" t="n">
        <f aca="false">'F&amp;B · Revenue'!E29</f>
        <v>789714.3</v>
      </c>
      <c r="G41" s="6"/>
    </row>
    <row r="42" customFormat="false" ht="15" hidden="false" customHeight="true" outlineLevel="0" collapsed="false">
      <c r="B42" s="6" t="s">
        <v>4963</v>
      </c>
      <c r="C42" s="1375" t="n">
        <f aca="false">-C30</f>
        <v>-579443.776</v>
      </c>
      <c r="G42" s="6"/>
    </row>
    <row r="43" customFormat="false" ht="17.25" hidden="false" customHeight="true" outlineLevel="0" collapsed="false">
      <c r="B43" s="1376" t="s">
        <v>4964</v>
      </c>
      <c r="C43" s="1377" t="n">
        <f aca="false">C41+C42</f>
        <v>210270.524</v>
      </c>
      <c r="G43" s="6"/>
    </row>
    <row r="44" customFormat="false" ht="15" hidden="false" customHeight="true" outlineLevel="0" collapsed="false">
      <c r="B44" s="592" t="s">
        <v>4965</v>
      </c>
      <c r="C44" s="1156" t="n">
        <f aca="false">C43/C41</f>
        <v>0.266261512549538</v>
      </c>
      <c r="G44" s="6"/>
    </row>
    <row r="45" customFormat="false" ht="15" hidden="false" customHeight="true" outlineLevel="0" collapsed="false">
      <c r="B45" s="6"/>
      <c r="G45" s="6"/>
    </row>
    <row r="46" customFormat="false" ht="33.75" hidden="false" customHeight="true" outlineLevel="0" collapsed="false">
      <c r="B46" s="125" t="s">
        <v>7799</v>
      </c>
      <c r="C46" s="125"/>
      <c r="D46" s="125"/>
      <c r="E46" s="125"/>
      <c r="F46" s="125"/>
      <c r="G46" s="125"/>
      <c r="H46" s="125"/>
    </row>
    <row r="47" customFormat="false" ht="15" hidden="false" customHeight="true" outlineLevel="0" collapsed="false">
      <c r="B47" s="113" t="s">
        <v>2487</v>
      </c>
      <c r="C47" s="1374" t="n">
        <f aca="false">'F&amp;B · Revenue'!E29</f>
        <v>789714.3</v>
      </c>
      <c r="G47" s="6"/>
    </row>
    <row r="48" customFormat="false" ht="15" hidden="false" customHeight="true" outlineLevel="0" collapsed="false">
      <c r="B48" s="126" t="s">
        <v>7800</v>
      </c>
      <c r="C48" s="1375" t="n">
        <f aca="false">-SUM(C7:C10)</f>
        <v>-206807.376</v>
      </c>
      <c r="G48" s="6"/>
    </row>
    <row r="49" customFormat="false" ht="17.25" hidden="false" customHeight="true" outlineLevel="0" collapsed="false">
      <c r="B49" s="1468" t="s">
        <v>7801</v>
      </c>
      <c r="C49" s="1377" t="n">
        <f aca="false">C47+C48</f>
        <v>582906.924</v>
      </c>
      <c r="D49" s="565" t="s">
        <v>7802</v>
      </c>
      <c r="G49" s="6"/>
    </row>
    <row r="50" customFormat="false" ht="15" hidden="false" customHeight="true" outlineLevel="0" collapsed="false">
      <c r="B50" s="592" t="s">
        <v>7803</v>
      </c>
      <c r="C50" s="1156" t="n">
        <f aca="false">C49/C47</f>
        <v>0.738123805026704</v>
      </c>
      <c r="D50" s="565" t="s">
        <v>7804</v>
      </c>
      <c r="G50" s="6"/>
    </row>
    <row r="51" customFormat="false" ht="15" hidden="false" customHeight="true" outlineLevel="0" collapsed="false">
      <c r="B51" s="6"/>
      <c r="G51" s="6"/>
    </row>
    <row r="52" customFormat="false" ht="15" hidden="false" customHeight="true" outlineLevel="0" collapsed="false">
      <c r="B52" s="1376" t="s">
        <v>7805</v>
      </c>
      <c r="C52" s="393" t="n">
        <f aca="false">C43</f>
        <v>210270.524</v>
      </c>
      <c r="D52" s="565" t="s">
        <v>7806</v>
      </c>
      <c r="G52" s="6"/>
    </row>
    <row r="53" customFormat="false" ht="15" hidden="false" customHeight="true" outlineLevel="0" collapsed="false">
      <c r="B53" s="592" t="s">
        <v>4991</v>
      </c>
      <c r="C53" s="1223" t="n">
        <f aca="false">C52/C47</f>
        <v>0.266261512549538</v>
      </c>
      <c r="D53" s="565" t="s">
        <v>7807</v>
      </c>
      <c r="G53" s="6"/>
    </row>
    <row r="54" customFormat="false" ht="15" hidden="false" customHeight="true" outlineLevel="0" collapsed="false">
      <c r="B54" s="6"/>
      <c r="G54" s="6"/>
    </row>
    <row r="55" customFormat="false" ht="78.75" hidden="false" customHeight="true" outlineLevel="0" collapsed="false">
      <c r="B55" s="1394" t="s">
        <v>7808</v>
      </c>
      <c r="C55" s="1394"/>
      <c r="D55" s="1394"/>
      <c r="G55" s="6"/>
    </row>
    <row r="56" customFormat="false" ht="15" hidden="false" customHeight="true" outlineLevel="0" collapsed="false">
      <c r="B56" s="6"/>
      <c r="G56" s="6"/>
    </row>
    <row r="57" customFormat="false" ht="33.75" hidden="false" customHeight="true" outlineLevel="0" collapsed="false">
      <c r="B57" s="159" t="s">
        <v>7809</v>
      </c>
      <c r="G57" s="6"/>
    </row>
    <row r="58" customFormat="false" ht="48.75" hidden="false" customHeight="true" outlineLevel="0" collapsed="false">
      <c r="B58" s="6" t="s">
        <v>7810</v>
      </c>
      <c r="G58" s="6"/>
    </row>
    <row r="59" customFormat="false" ht="33.75" hidden="false" customHeight="true" outlineLevel="0" collapsed="false">
      <c r="B59" s="6" t="s">
        <v>7811</v>
      </c>
      <c r="G59" s="6"/>
    </row>
    <row r="60" customFormat="false" ht="33.75" hidden="false" customHeight="true" outlineLevel="0" collapsed="false">
      <c r="B60" s="6" t="s">
        <v>7812</v>
      </c>
      <c r="G60" s="6"/>
    </row>
    <row r="61" customFormat="false" ht="33.75" hidden="false" customHeight="true" outlineLevel="0" collapsed="false">
      <c r="B61" s="6" t="s">
        <v>7813</v>
      </c>
      <c r="G61" s="6"/>
    </row>
    <row r="62" customFormat="false" ht="33.75" hidden="false" customHeight="true" outlineLevel="0" collapsed="false">
      <c r="B62" s="6" t="s">
        <v>7814</v>
      </c>
      <c r="G62" s="6"/>
    </row>
    <row r="63" customFormat="false" ht="33.75" hidden="false" customHeight="true" outlineLevel="0" collapsed="false">
      <c r="B63" s="6" t="s">
        <v>7815</v>
      </c>
      <c r="G63" s="6"/>
    </row>
    <row r="64" customFormat="false" ht="33.75" hidden="false" customHeight="true" outlineLevel="0" collapsed="false">
      <c r="B64" s="6" t="s">
        <v>7816</v>
      </c>
      <c r="G64" s="6"/>
    </row>
    <row r="65" customFormat="false" ht="15" hidden="false" customHeight="true" outlineLevel="0" collapsed="false">
      <c r="B65" s="6"/>
      <c r="G65" s="6"/>
    </row>
    <row r="66" customFormat="false" ht="48.75" hidden="false" customHeight="true" outlineLevel="0" collapsed="false">
      <c r="B66" s="6" t="s">
        <v>7817</v>
      </c>
      <c r="G66" s="6"/>
    </row>
    <row r="67" customFormat="false" ht="48.75" hidden="false" customHeight="true" outlineLevel="0" collapsed="false">
      <c r="B67" s="6" t="s">
        <v>7818</v>
      </c>
      <c r="G67" s="6"/>
    </row>
    <row r="68" customFormat="false" ht="63.75" hidden="false" customHeight="true" outlineLevel="0" collapsed="false">
      <c r="B68" s="6" t="s">
        <v>7819</v>
      </c>
      <c r="G68" s="6"/>
    </row>
    <row r="69" customFormat="false" ht="48.75" hidden="false" customHeight="true" outlineLevel="0" collapsed="false">
      <c r="B69" s="6" t="s">
        <v>7820</v>
      </c>
      <c r="G69" s="6"/>
    </row>
    <row r="70" customFormat="false" ht="15" hidden="false" customHeight="true" outlineLevel="0" collapsed="false">
      <c r="B70" s="6"/>
      <c r="G70" s="6"/>
    </row>
    <row r="71" customFormat="false" ht="15" hidden="false" customHeight="true" outlineLevel="0" collapsed="false">
      <c r="B71" s="6"/>
      <c r="G71" s="6"/>
    </row>
    <row r="72" customFormat="false" ht="48.75" hidden="false" customHeight="true" outlineLevel="0" collapsed="false">
      <c r="B72" s="1469" t="s">
        <v>7821</v>
      </c>
      <c r="G72" s="6"/>
    </row>
    <row r="73" customFormat="false" ht="63.75" hidden="false" customHeight="true" outlineLevel="0" collapsed="false">
      <c r="B73" s="6" t="s">
        <v>7822</v>
      </c>
      <c r="G73" s="6"/>
    </row>
    <row r="74" customFormat="false" ht="93.75" hidden="false" customHeight="true" outlineLevel="0" collapsed="false">
      <c r="B74" s="6" t="s">
        <v>7823</v>
      </c>
      <c r="G74" s="6"/>
    </row>
    <row r="75" customFormat="false" ht="15" hidden="false" customHeight="true" outlineLevel="0" collapsed="false">
      <c r="B75" s="159" t="s">
        <v>7824</v>
      </c>
      <c r="C75" s="0" t="s">
        <v>7825</v>
      </c>
      <c r="D75" s="0" t="s">
        <v>7826</v>
      </c>
      <c r="E75" s="0" t="s">
        <v>7827</v>
      </c>
      <c r="F75" s="193" t="s">
        <v>4265</v>
      </c>
      <c r="G75" s="159" t="s">
        <v>7828</v>
      </c>
    </row>
    <row r="76" customFormat="false" ht="15" hidden="false" customHeight="true" outlineLevel="0" collapsed="false">
      <c r="B76" s="6"/>
      <c r="C76" s="0" t="s">
        <v>7829</v>
      </c>
      <c r="D76" s="0" t="s">
        <v>7830</v>
      </c>
      <c r="E76" s="142" t="n">
        <v>6000</v>
      </c>
      <c r="F76" s="1470" t="s">
        <v>7831</v>
      </c>
      <c r="G76" s="6" t="s">
        <v>7832</v>
      </c>
    </row>
    <row r="77" customFormat="false" ht="15" hidden="false" customHeight="true" outlineLevel="0" collapsed="false">
      <c r="B77" s="6"/>
      <c r="C77" s="0" t="s">
        <v>7833</v>
      </c>
      <c r="D77" s="0" t="s">
        <v>7834</v>
      </c>
      <c r="E77" s="142" t="n">
        <v>4000</v>
      </c>
      <c r="F77" s="1470" t="s">
        <v>7831</v>
      </c>
      <c r="G77" s="6" t="s">
        <v>7832</v>
      </c>
    </row>
    <row r="78" customFormat="false" ht="15" hidden="false" customHeight="true" outlineLevel="0" collapsed="false">
      <c r="B78" s="6"/>
      <c r="C78" s="0" t="s">
        <v>7835</v>
      </c>
      <c r="D78" s="0" t="s">
        <v>7836</v>
      </c>
      <c r="E78" s="142" t="n">
        <v>3000</v>
      </c>
      <c r="F78" s="1470" t="s">
        <v>7831</v>
      </c>
      <c r="G78" s="6" t="s">
        <v>7832</v>
      </c>
    </row>
    <row r="79" customFormat="false" ht="15" hidden="false" customHeight="true" outlineLevel="0" collapsed="false">
      <c r="B79" s="6"/>
      <c r="C79" s="0" t="s">
        <v>7837</v>
      </c>
      <c r="D79" s="0" t="s">
        <v>7838</v>
      </c>
      <c r="E79" s="142" t="n">
        <v>2000</v>
      </c>
      <c r="F79" s="1470" t="s">
        <v>7831</v>
      </c>
      <c r="G79" s="6" t="s">
        <v>7832</v>
      </c>
    </row>
    <row r="80" customFormat="false" ht="15" hidden="false" customHeight="true" outlineLevel="0" collapsed="false">
      <c r="B80" s="6" t="s">
        <v>7839</v>
      </c>
      <c r="E80" s="198" t="n">
        <f aca="false">SUM(E76:E79)</f>
        <v>15000</v>
      </c>
      <c r="G80" s="6"/>
    </row>
    <row r="81" customFormat="false" ht="15" hidden="false" customHeight="true" outlineLevel="0" collapsed="false">
      <c r="B81" s="6"/>
      <c r="G81" s="6"/>
    </row>
    <row r="82" customFormat="false" ht="33.75" hidden="false" customHeight="true" outlineLevel="0" collapsed="false">
      <c r="B82" s="159" t="s">
        <v>7840</v>
      </c>
      <c r="F82" s="193" t="s">
        <v>4265</v>
      </c>
      <c r="G82" s="159" t="s">
        <v>7828</v>
      </c>
    </row>
    <row r="83" customFormat="false" ht="15" hidden="false" customHeight="true" outlineLevel="0" collapsed="false">
      <c r="B83" s="6"/>
      <c r="C83" s="0" t="s">
        <v>7829</v>
      </c>
      <c r="D83" s="0" t="s">
        <v>7841</v>
      </c>
      <c r="E83" s="142" t="n">
        <v>3000</v>
      </c>
      <c r="F83" s="1470" t="s">
        <v>7831</v>
      </c>
      <c r="G83" s="6" t="s">
        <v>7832</v>
      </c>
    </row>
    <row r="84" customFormat="false" ht="15" hidden="false" customHeight="true" outlineLevel="0" collapsed="false">
      <c r="B84" s="6"/>
      <c r="C84" s="0" t="s">
        <v>7833</v>
      </c>
      <c r="D84" s="0" t="s">
        <v>7842</v>
      </c>
      <c r="E84" s="142" t="n">
        <v>4000</v>
      </c>
      <c r="F84" s="1470" t="s">
        <v>7831</v>
      </c>
      <c r="G84" s="6" t="s">
        <v>7832</v>
      </c>
    </row>
    <row r="85" customFormat="false" ht="15" hidden="false" customHeight="true" outlineLevel="0" collapsed="false">
      <c r="B85" s="6"/>
      <c r="C85" s="0" t="s">
        <v>7835</v>
      </c>
      <c r="D85" s="0" t="s">
        <v>7843</v>
      </c>
      <c r="E85" s="142" t="n">
        <v>5000</v>
      </c>
      <c r="F85" s="1470" t="s">
        <v>7831</v>
      </c>
      <c r="G85" s="6" t="s">
        <v>7832</v>
      </c>
    </row>
    <row r="86" customFormat="false" ht="15" hidden="false" customHeight="true" outlineLevel="0" collapsed="false">
      <c r="B86" s="6"/>
      <c r="C86" s="0" t="s">
        <v>7837</v>
      </c>
      <c r="D86" s="0" t="s">
        <v>7844</v>
      </c>
      <c r="E86" s="142" t="n">
        <v>2000</v>
      </c>
      <c r="F86" s="1470" t="s">
        <v>7831</v>
      </c>
      <c r="G86" s="6" t="s">
        <v>7832</v>
      </c>
    </row>
    <row r="87" customFormat="false" ht="15" hidden="false" customHeight="true" outlineLevel="0" collapsed="false">
      <c r="B87" s="6" t="s">
        <v>7845</v>
      </c>
      <c r="E87" s="198" t="n">
        <f aca="false">SUM(E83:E86)</f>
        <v>14000</v>
      </c>
      <c r="G87" s="6"/>
    </row>
    <row r="88" customFormat="false" ht="15" hidden="false" customHeight="true" outlineLevel="0" collapsed="false">
      <c r="B88" s="6"/>
      <c r="G88" s="6"/>
    </row>
    <row r="89" customFormat="false" ht="33.75" hidden="false" customHeight="true" outlineLevel="0" collapsed="false">
      <c r="B89" s="159" t="s">
        <v>7846</v>
      </c>
      <c r="F89" s="193" t="s">
        <v>4265</v>
      </c>
      <c r="G89" s="159" t="s">
        <v>7828</v>
      </c>
    </row>
    <row r="90" customFormat="false" ht="15" hidden="false" customHeight="true" outlineLevel="0" collapsed="false">
      <c r="B90" s="6"/>
      <c r="C90" s="0" t="s">
        <v>7847</v>
      </c>
      <c r="D90" s="0" t="s">
        <v>7848</v>
      </c>
      <c r="E90" s="142" t="n">
        <v>6000</v>
      </c>
      <c r="F90" s="1470" t="s">
        <v>7831</v>
      </c>
      <c r="G90" s="6" t="s">
        <v>7832</v>
      </c>
    </row>
    <row r="91" customFormat="false" ht="15" hidden="false" customHeight="true" outlineLevel="0" collapsed="false">
      <c r="B91" s="6"/>
      <c r="C91" s="0" t="s">
        <v>7849</v>
      </c>
      <c r="D91" s="0" t="s">
        <v>7850</v>
      </c>
      <c r="E91" s="142" t="n">
        <v>3000</v>
      </c>
      <c r="F91" s="1470" t="s">
        <v>7831</v>
      </c>
      <c r="G91" s="6" t="s">
        <v>7832</v>
      </c>
    </row>
    <row r="92" customFormat="false" ht="15" hidden="false" customHeight="true" outlineLevel="0" collapsed="false">
      <c r="B92" s="6" t="s">
        <v>7851</v>
      </c>
      <c r="E92" s="198" t="n">
        <f aca="false">SUM(E90:E91)</f>
        <v>9000</v>
      </c>
      <c r="G92" s="6"/>
    </row>
    <row r="93" customFormat="false" ht="15" hidden="false" customHeight="true" outlineLevel="0" collapsed="false">
      <c r="B93" s="6"/>
      <c r="G93" s="6"/>
    </row>
    <row r="94" customFormat="false" ht="48.75" hidden="false" customHeight="true" outlineLevel="0" collapsed="false">
      <c r="B94" s="159" t="s">
        <v>7852</v>
      </c>
      <c r="F94" s="193" t="s">
        <v>4265</v>
      </c>
      <c r="G94" s="159" t="s">
        <v>7828</v>
      </c>
    </row>
    <row r="95" customFormat="false" ht="48.75" hidden="false" customHeight="true" outlineLevel="0" collapsed="false">
      <c r="B95" s="6" t="s">
        <v>7853</v>
      </c>
      <c r="E95" s="142" t="n">
        <v>3500</v>
      </c>
      <c r="F95" s="1470" t="s">
        <v>7831</v>
      </c>
      <c r="G95" s="6" t="s">
        <v>7832</v>
      </c>
    </row>
    <row r="96" customFormat="false" ht="48.75" hidden="false" customHeight="true" outlineLevel="0" collapsed="false">
      <c r="B96" s="6" t="s">
        <v>7854</v>
      </c>
      <c r="E96" s="142" t="n">
        <v>2500</v>
      </c>
      <c r="F96" s="1470" t="s">
        <v>7831</v>
      </c>
      <c r="G96" s="6" t="s">
        <v>7832</v>
      </c>
    </row>
    <row r="97" customFormat="false" ht="15" hidden="false" customHeight="true" outlineLevel="0" collapsed="false">
      <c r="B97" s="6" t="s">
        <v>7855</v>
      </c>
      <c r="E97" s="198" t="n">
        <f aca="false">SUM(E95:E96)</f>
        <v>6000</v>
      </c>
      <c r="G97" s="6"/>
    </row>
    <row r="98" customFormat="false" ht="15" hidden="false" customHeight="true" outlineLevel="0" collapsed="false">
      <c r="B98" s="6"/>
      <c r="G98" s="6"/>
    </row>
    <row r="99" customFormat="false" ht="33.75" hidden="false" customHeight="true" outlineLevel="0" collapsed="false">
      <c r="B99" s="159" t="s">
        <v>7856</v>
      </c>
      <c r="E99" s="227" t="n">
        <f aca="false">E80+E87+E92+E97</f>
        <v>44000</v>
      </c>
      <c r="G99" s="6"/>
    </row>
    <row r="100" customFormat="false" ht="15" hidden="false" customHeight="true" outlineLevel="0" collapsed="false">
      <c r="B100" s="6"/>
      <c r="G100" s="6"/>
    </row>
    <row r="101" customFormat="false" ht="15" hidden="false" customHeight="true" outlineLevel="0" collapsed="false">
      <c r="B101" s="6" t="s">
        <v>7857</v>
      </c>
      <c r="C101" s="142" t="n">
        <f aca="false">C43</f>
        <v>210270.524</v>
      </c>
      <c r="G101" s="6"/>
    </row>
    <row r="102" customFormat="false" ht="15" hidden="false" customHeight="true" outlineLevel="0" collapsed="false">
      <c r="B102" s="6" t="s">
        <v>7858</v>
      </c>
      <c r="C102" s="142" t="n">
        <f aca="false">C101+E99</f>
        <v>254270.524</v>
      </c>
      <c r="G102" s="6"/>
    </row>
    <row r="103" customFormat="false" ht="15" hidden="false" customHeight="true" outlineLevel="0" collapsed="false">
      <c r="B103" s="6" t="s">
        <v>7859</v>
      </c>
      <c r="C103" s="212" t="n">
        <f aca="false">C102/'F&amp;B · Revenue'!E29</f>
        <v>0.321977864653078</v>
      </c>
      <c r="G103" s="6"/>
    </row>
    <row r="104" customFormat="false" ht="15" hidden="false" customHeight="true" outlineLevel="0" collapsed="false">
      <c r="B104" s="6" t="s">
        <v>7860</v>
      </c>
      <c r="C104" s="0" t="s">
        <v>7861</v>
      </c>
      <c r="G104" s="6"/>
    </row>
    <row r="105" customFormat="false" ht="15" hidden="false" customHeight="true" outlineLevel="0" collapsed="false">
      <c r="B105" s="6"/>
      <c r="G105" s="6"/>
    </row>
    <row r="106" customFormat="false" ht="15" hidden="false" customHeight="true" outlineLevel="0" collapsed="false">
      <c r="B106" s="159" t="s">
        <v>7862</v>
      </c>
      <c r="G106" s="6"/>
    </row>
    <row r="107" customFormat="false" ht="33.75" hidden="false" customHeight="true" outlineLevel="0" collapsed="false">
      <c r="B107" s="6" t="s">
        <v>7863</v>
      </c>
      <c r="G107" s="6"/>
    </row>
    <row r="108" customFormat="false" ht="48.75" hidden="false" customHeight="true" outlineLevel="0" collapsed="false">
      <c r="B108" s="6" t="s">
        <v>7864</v>
      </c>
      <c r="G108" s="6"/>
    </row>
    <row r="109" customFormat="false" ht="48.75" hidden="false" customHeight="true" outlineLevel="0" collapsed="false">
      <c r="B109" s="6" t="s">
        <v>7865</v>
      </c>
      <c r="G109" s="6"/>
    </row>
    <row r="110" customFormat="false" ht="48.75" hidden="false" customHeight="true" outlineLevel="0" collapsed="false">
      <c r="B110" s="6" t="s">
        <v>7866</v>
      </c>
      <c r="G110" s="6"/>
    </row>
    <row r="111" customFormat="false" ht="63.75" hidden="false" customHeight="true" outlineLevel="0" collapsed="false">
      <c r="B111" s="6" t="s">
        <v>7867</v>
      </c>
      <c r="G111" s="6"/>
    </row>
  </sheetData>
  <mergeCells count="10">
    <mergeCell ref="B2:F2"/>
    <mergeCell ref="G2:J2"/>
    <mergeCell ref="B3:J3"/>
    <mergeCell ref="B5:H5"/>
    <mergeCell ref="B12:H12"/>
    <mergeCell ref="B24:H24"/>
    <mergeCell ref="B32:H32"/>
    <mergeCell ref="B40:H40"/>
    <mergeCell ref="B46:H46"/>
    <mergeCell ref="B55:D5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3"/>
    <col collapsed="false" customWidth="true" hidden="false" outlineLevel="0" max="10" min="3" style="0" width="11"/>
    <col collapsed="false" customWidth="true" hidden="false" outlineLevel="0" max="11" min="11" style="0" width="9"/>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7868</v>
      </c>
      <c r="C2" s="15"/>
      <c r="D2" s="15"/>
      <c r="E2" s="15"/>
      <c r="F2" s="15"/>
      <c r="G2" s="15"/>
      <c r="H2" s="89" t="s">
        <v>995</v>
      </c>
      <c r="I2" s="89"/>
      <c r="J2" s="89"/>
      <c r="K2" s="89"/>
    </row>
    <row r="3" customFormat="false" ht="18" hidden="false" customHeight="true" outlineLevel="0" collapsed="false">
      <c r="B3" s="90" t="s">
        <v>4967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575" t="s">
        <v>4968</v>
      </c>
      <c r="C5" s="575"/>
      <c r="D5" s="575"/>
      <c r="E5" s="575"/>
      <c r="F5" s="575"/>
      <c r="G5" s="575"/>
      <c r="H5" s="575"/>
      <c r="I5" s="575"/>
      <c r="J5" s="575"/>
      <c r="K5" s="575"/>
    </row>
    <row r="6" customFormat="false" ht="21.75" hidden="false" customHeight="true" outlineLevel="0" collapsed="false">
      <c r="B6" s="97" t="s">
        <v>206</v>
      </c>
      <c r="C6" s="98" t="s">
        <v>760</v>
      </c>
      <c r="D6" s="98" t="s">
        <v>908</v>
      </c>
      <c r="E6" s="98" t="s">
        <v>765</v>
      </c>
      <c r="F6" s="98" t="s">
        <v>770</v>
      </c>
      <c r="G6" s="98" t="s">
        <v>909</v>
      </c>
      <c r="H6" s="98" t="s">
        <v>910</v>
      </c>
      <c r="I6" s="98" t="s">
        <v>911</v>
      </c>
      <c r="J6" s="98" t="s">
        <v>912</v>
      </c>
      <c r="K6" s="6"/>
    </row>
    <row r="7" customFormat="false" ht="15" hidden="false" customHeight="true" outlineLevel="0" collapsed="false">
      <c r="B7" s="1289" t="s">
        <v>4969</v>
      </c>
      <c r="C7" s="1278" t="n">
        <f aca="false">'F&amp;B · Costs'!C41</f>
        <v>789714.3</v>
      </c>
      <c r="D7" s="1278" t="n">
        <f aca="false">'F&amp;B · Costs'!C41</f>
        <v>789714.3</v>
      </c>
      <c r="E7" s="1278" t="n">
        <f aca="false">'F&amp;B · Costs'!C41</f>
        <v>789714.3</v>
      </c>
      <c r="F7" s="1278" t="n">
        <f aca="false">'F&amp;B · Costs'!C41</f>
        <v>789714.3</v>
      </c>
      <c r="G7" s="1278" t="n">
        <f aca="false">'F&amp;B · Costs'!C41</f>
        <v>789714.3</v>
      </c>
      <c r="H7" s="1278" t="n">
        <f aca="false">'F&amp;B · Costs'!C41</f>
        <v>789714.3</v>
      </c>
      <c r="I7" s="1278" t="n">
        <f aca="false">'F&amp;B · Costs'!C41</f>
        <v>789714.3</v>
      </c>
      <c r="J7" s="1278" t="n">
        <f aca="false">'F&amp;B · Costs'!C41</f>
        <v>789714.3</v>
      </c>
      <c r="K7" s="6"/>
    </row>
    <row r="8" customFormat="false" ht="15" hidden="false" customHeight="true" outlineLevel="0" collapsed="false">
      <c r="B8" s="1289" t="s">
        <v>4970</v>
      </c>
      <c r="C8" s="593" t="n">
        <v>0.8</v>
      </c>
      <c r="D8" s="593" t="n">
        <v>0.9</v>
      </c>
      <c r="E8" s="593" t="n">
        <v>1</v>
      </c>
      <c r="F8" s="593" t="n">
        <v>1</v>
      </c>
      <c r="G8" s="593" t="n">
        <v>1.05</v>
      </c>
      <c r="H8" s="593" t="n">
        <v>1.1025</v>
      </c>
      <c r="I8" s="593" t="n">
        <v>1.157625</v>
      </c>
      <c r="J8" s="593" t="n">
        <v>1.21550625</v>
      </c>
      <c r="K8" s="6"/>
    </row>
    <row r="9" customFormat="false" ht="15" hidden="false" customHeight="true" outlineLevel="0" collapsed="false">
      <c r="B9" s="6"/>
      <c r="K9" s="6"/>
    </row>
    <row r="10" customFormat="false" ht="21.75" hidden="false" customHeight="true" outlineLevel="0" collapsed="false">
      <c r="B10" s="575" t="s">
        <v>4061</v>
      </c>
      <c r="C10" s="575"/>
      <c r="D10" s="575"/>
      <c r="E10" s="575"/>
      <c r="F10" s="575"/>
      <c r="G10" s="575"/>
      <c r="H10" s="575"/>
      <c r="I10" s="575"/>
      <c r="J10" s="575"/>
      <c r="K10" s="575"/>
    </row>
    <row r="11" customFormat="false" ht="21.75" hidden="false" customHeight="true" outlineLevel="0" collapsed="false">
      <c r="B11" s="81" t="s">
        <v>4962</v>
      </c>
      <c r="C11" s="577" t="n">
        <f aca="false">C7*C8</f>
        <v>631771.44</v>
      </c>
      <c r="D11" s="577" t="n">
        <f aca="false">D7*D8</f>
        <v>710742.87</v>
      </c>
      <c r="E11" s="577" t="n">
        <f aca="false">E7*E8</f>
        <v>789714.3</v>
      </c>
      <c r="F11" s="577" t="n">
        <f aca="false">F7*F8</f>
        <v>789714.3</v>
      </c>
      <c r="G11" s="577" t="n">
        <f aca="false">G7*G8</f>
        <v>829200.015</v>
      </c>
      <c r="H11" s="577" t="n">
        <f aca="false">H7*H8</f>
        <v>870660.01575</v>
      </c>
      <c r="I11" s="577" t="n">
        <f aca="false">I7*I8</f>
        <v>914193.0165375</v>
      </c>
      <c r="J11" s="577" t="n">
        <f aca="false">J7*J8</f>
        <v>959902.667364375</v>
      </c>
      <c r="K11" s="6"/>
    </row>
    <row r="12" customFormat="false" ht="15" hidden="false" customHeight="true" outlineLevel="0" collapsed="false">
      <c r="B12" s="128" t="s">
        <v>4064</v>
      </c>
      <c r="C12" s="573" t="s">
        <v>672</v>
      </c>
      <c r="D12" s="593" t="n">
        <f aca="false">D11/C11-1</f>
        <v>0.125</v>
      </c>
      <c r="E12" s="593" t="n">
        <f aca="false">E11/D11-1</f>
        <v>0.111111111111111</v>
      </c>
      <c r="F12" s="593" t="n">
        <f aca="false">F11/E11-1</f>
        <v>0</v>
      </c>
      <c r="G12" s="593" t="n">
        <f aca="false">G11/F11-1</f>
        <v>0.05</v>
      </c>
      <c r="H12" s="593" t="n">
        <f aca="false">H11/G11-1</f>
        <v>0.05</v>
      </c>
      <c r="I12" s="593" t="n">
        <f aca="false">I11/H11-1</f>
        <v>0.0499999999999998</v>
      </c>
      <c r="J12" s="593" t="n">
        <f aca="false">J11/I11-1</f>
        <v>0.05</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4971</v>
      </c>
      <c r="C15" s="360" t="n">
        <f aca="false">'F&amp;B · Costs'!C42*-1*'F&amp;B · Assumptions'!$C$15</f>
        <v>231777.5104</v>
      </c>
      <c r="D15" s="360" t="n">
        <f aca="false">'F&amp;B · Costs'!C42*-1*'F&amp;B · Assumptions'!$C$15</f>
        <v>231777.5104</v>
      </c>
      <c r="E15" s="360" t="n">
        <f aca="false">'F&amp;B · Costs'!C42*-1*'F&amp;B · Assumptions'!$C$15</f>
        <v>231777.5104</v>
      </c>
      <c r="F15" s="360" t="n">
        <f aca="false">'F&amp;B · Costs'!C42*-1*'F&amp;B · Assumptions'!$C$15</f>
        <v>231777.5104</v>
      </c>
      <c r="G15" s="360" t="n">
        <f aca="false">'F&amp;B · Costs'!C42*-1*'F&amp;B · Assumptions'!$C$15</f>
        <v>231777.5104</v>
      </c>
      <c r="H15" s="360" t="n">
        <f aca="false">'F&amp;B · Costs'!C42*-1*'F&amp;B · Assumptions'!$C$15</f>
        <v>231777.5104</v>
      </c>
      <c r="I15" s="360" t="n">
        <f aca="false">'F&amp;B · Costs'!C42*-1*'F&amp;B · Assumptions'!$C$15</f>
        <v>231777.5104</v>
      </c>
      <c r="J15" s="360" t="n">
        <f aca="false">'F&amp;B · Costs'!C42*-1*'F&amp;B · Assumptions'!$C$15</f>
        <v>231777.5104</v>
      </c>
      <c r="K15" s="6"/>
    </row>
    <row r="16" customFormat="false" ht="15" hidden="false" customHeight="true" outlineLevel="0" collapsed="false">
      <c r="B16" s="113" t="s">
        <v>4972</v>
      </c>
      <c r="C16" s="360" t="n">
        <f aca="false">('F&amp;B · Costs'!C42*-1*'F&amp;B · Assumptions'!$C$16)*C8</f>
        <v>278133.01248</v>
      </c>
      <c r="D16" s="360" t="n">
        <f aca="false">('F&amp;B · Costs'!C42*-1*'F&amp;B · Assumptions'!$C$16)*D8</f>
        <v>312899.63904</v>
      </c>
      <c r="E16" s="360" t="n">
        <f aca="false">('F&amp;B · Costs'!C42*-1*'F&amp;B · Assumptions'!$C$16)*E8</f>
        <v>347666.2656</v>
      </c>
      <c r="F16" s="360" t="n">
        <f aca="false">('F&amp;B · Costs'!C42*-1*'F&amp;B · Assumptions'!$C$16)*F8</f>
        <v>347666.2656</v>
      </c>
      <c r="G16" s="360" t="n">
        <f aca="false">('F&amp;B · Costs'!C42*-1*'F&amp;B · Assumptions'!$C$16)*G8</f>
        <v>365049.57888</v>
      </c>
      <c r="H16" s="360" t="n">
        <f aca="false">('F&amp;B · Costs'!C42*-1*'F&amp;B · Assumptions'!$C$16)*H8</f>
        <v>383302.057824</v>
      </c>
      <c r="I16" s="360" t="n">
        <f aca="false">('F&amp;B · Costs'!C42*-1*'F&amp;B · Assumptions'!$C$16)*I8</f>
        <v>402467.1607152</v>
      </c>
      <c r="J16" s="360" t="n">
        <f aca="false">('F&amp;B · Costs'!C42*-1*'F&amp;B · Assumptions'!$C$16)*J8</f>
        <v>422590.51875096</v>
      </c>
      <c r="K16" s="6"/>
    </row>
    <row r="17" customFormat="false" ht="21.75" hidden="false" customHeight="true" outlineLevel="0" collapsed="false">
      <c r="B17" s="117" t="s">
        <v>4973</v>
      </c>
      <c r="C17" s="1290" t="n">
        <f aca="false">C15+C16</f>
        <v>509910.52288</v>
      </c>
      <c r="D17" s="1290" t="n">
        <f aca="false">D15+D16</f>
        <v>544677.14944</v>
      </c>
      <c r="E17" s="1290" t="n">
        <f aca="false">E15+E16</f>
        <v>579443.776</v>
      </c>
      <c r="F17" s="1290" t="n">
        <f aca="false">F15+F16</f>
        <v>579443.776</v>
      </c>
      <c r="G17" s="1290" t="n">
        <f aca="false">G15+G16</f>
        <v>596827.08928</v>
      </c>
      <c r="H17" s="1290" t="n">
        <f aca="false">H15+H16</f>
        <v>615079.568224</v>
      </c>
      <c r="I17" s="1290" t="n">
        <f aca="false">I15+I16</f>
        <v>634244.6711152</v>
      </c>
      <c r="J17" s="1290" t="n">
        <f aca="false">J15+J16</f>
        <v>654368.02915096</v>
      </c>
      <c r="K17" s="6"/>
    </row>
    <row r="18" customFormat="false" ht="15" hidden="false" customHeight="true" outlineLevel="0" collapsed="false">
      <c r="B18" s="6"/>
      <c r="K18" s="6"/>
    </row>
    <row r="19" customFormat="false" ht="21.75" hidden="false" customHeight="true" outlineLevel="0" collapsed="false">
      <c r="B19" s="96" t="s">
        <v>4974</v>
      </c>
      <c r="C19" s="96"/>
      <c r="D19" s="96"/>
      <c r="E19" s="96"/>
      <c r="F19" s="96"/>
      <c r="G19" s="96"/>
      <c r="H19" s="96"/>
      <c r="I19" s="96"/>
      <c r="J19" s="96"/>
      <c r="K19" s="96"/>
    </row>
    <row r="20" customFormat="false" ht="25.5" hidden="false" customHeight="true" outlineLevel="0" collapsed="false">
      <c r="B20" s="117" t="s">
        <v>4975</v>
      </c>
      <c r="C20" s="996" t="n">
        <f aca="false">C11-C17</f>
        <v>121860.91712</v>
      </c>
      <c r="D20" s="996" t="n">
        <f aca="false">D11-D17</f>
        <v>166065.72056</v>
      </c>
      <c r="E20" s="996" t="n">
        <f aca="false">E11-E17</f>
        <v>210270.524</v>
      </c>
      <c r="F20" s="996" t="n">
        <f aca="false">F11-F17</f>
        <v>210270.524</v>
      </c>
      <c r="G20" s="996" t="n">
        <f aca="false">G11-G17</f>
        <v>232372.92572</v>
      </c>
      <c r="H20" s="996" t="n">
        <f aca="false">H11-H17</f>
        <v>255580.447526</v>
      </c>
      <c r="I20" s="996" t="n">
        <f aca="false">I11-I17</f>
        <v>279948.3454223</v>
      </c>
      <c r="J20" s="996" t="n">
        <f aca="false">J11-J17</f>
        <v>305534.638213415</v>
      </c>
      <c r="K20" s="6"/>
    </row>
    <row r="21" customFormat="false" ht="15" hidden="false" customHeight="true" outlineLevel="0" collapsed="false">
      <c r="B21" s="592" t="s">
        <v>4976</v>
      </c>
      <c r="C21" s="635" t="n">
        <f aca="false">C20/C11</f>
        <v>0.192887663804492</v>
      </c>
      <c r="D21" s="635" t="n">
        <f aca="false">D20/D11</f>
        <v>0.233650913107296</v>
      </c>
      <c r="E21" s="635" t="n">
        <f aca="false">E20/E11</f>
        <v>0.266261512549538</v>
      </c>
      <c r="F21" s="635" t="n">
        <f aca="false">F20/F11</f>
        <v>0.266261512549538</v>
      </c>
      <c r="G21" s="635" t="n">
        <f aca="false">G20/G11</f>
        <v>0.280237483739071</v>
      </c>
      <c r="H21" s="635" t="n">
        <f aca="false">H20/H11</f>
        <v>0.293547932491007</v>
      </c>
      <c r="I21" s="635" t="n">
        <f aca="false">I20/I11</f>
        <v>0.306224550349993</v>
      </c>
      <c r="J21" s="635" t="n">
        <f aca="false">J20/J11</f>
        <v>0.318297519739504</v>
      </c>
      <c r="K21" s="6"/>
    </row>
    <row r="22" customFormat="false" ht="15" hidden="false" customHeight="true" outlineLevel="0" collapsed="false">
      <c r="B22" s="6"/>
      <c r="K22" s="6"/>
    </row>
    <row r="23" customFormat="false" ht="15" hidden="false" customHeight="true" outlineLevel="0" collapsed="false">
      <c r="B23" s="6"/>
      <c r="K23" s="6"/>
    </row>
    <row r="24" customFormat="false" ht="21.75" hidden="false" customHeight="true" outlineLevel="0" collapsed="false">
      <c r="B24" s="72" t="s">
        <v>4977</v>
      </c>
      <c r="C24" s="72"/>
      <c r="D24" s="72"/>
      <c r="E24" s="72"/>
      <c r="F24" s="72"/>
      <c r="G24" s="72"/>
      <c r="H24" s="72"/>
      <c r="I24" s="72"/>
      <c r="J24" s="72"/>
      <c r="K24" s="72"/>
    </row>
    <row r="25" customFormat="false" ht="15" hidden="false" customHeight="true" outlineLevel="0" collapsed="false">
      <c r="B25" s="699" t="s">
        <v>4978</v>
      </c>
      <c r="C25" s="608" t="n">
        <f aca="false">SUM(C11:J11)</f>
        <v>6495898.62465188</v>
      </c>
      <c r="K25" s="6"/>
    </row>
    <row r="26" customFormat="false" ht="15" hidden="false" customHeight="true" outlineLevel="0" collapsed="false">
      <c r="B26" s="699" t="s">
        <v>4979</v>
      </c>
      <c r="C26" s="996" t="n">
        <f aca="false">SUM(C20:J20)</f>
        <v>1781904.04256172</v>
      </c>
      <c r="K26" s="6"/>
    </row>
  </sheetData>
  <mergeCells count="8">
    <mergeCell ref="B2:G2"/>
    <mergeCell ref="H2:K2"/>
    <mergeCell ref="B3:K3"/>
    <mergeCell ref="B5:K5"/>
    <mergeCell ref="B10:K10"/>
    <mergeCell ref="B14:K14"/>
    <mergeCell ref="B19:K19"/>
    <mergeCell ref="B24:K24"/>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0" min="3" style="0" width="11"/>
    <col collapsed="false" customWidth="true" hidden="false" outlineLevel="0" max="11" min="11" style="0" width="9"/>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7869</v>
      </c>
      <c r="C2" s="15"/>
      <c r="D2" s="15"/>
      <c r="E2" s="15"/>
      <c r="F2" s="15"/>
      <c r="G2" s="15"/>
      <c r="H2" s="89" t="s">
        <v>995</v>
      </c>
      <c r="I2" s="89"/>
      <c r="J2" s="89"/>
      <c r="K2" s="89"/>
    </row>
    <row r="3" customFormat="false" ht="33.75" hidden="false" customHeight="true" outlineLevel="0" collapsed="false">
      <c r="B3" s="90" t="s">
        <v>4981</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575" t="s">
        <v>4982</v>
      </c>
      <c r="C5" s="575"/>
      <c r="D5" s="575"/>
      <c r="E5" s="575"/>
      <c r="F5" s="575"/>
      <c r="G5" s="575"/>
      <c r="H5" s="575"/>
      <c r="I5" s="575"/>
      <c r="J5" s="575"/>
      <c r="K5" s="575"/>
    </row>
    <row r="6" customFormat="false" ht="21.75" hidden="false" customHeight="true" outlineLevel="0" collapsed="false">
      <c r="B6" s="97" t="s">
        <v>1141</v>
      </c>
      <c r="C6" s="98" t="s">
        <v>760</v>
      </c>
      <c r="D6" s="98" t="s">
        <v>908</v>
      </c>
      <c r="E6" s="98" t="s">
        <v>765</v>
      </c>
      <c r="F6" s="98" t="s">
        <v>770</v>
      </c>
      <c r="G6" s="98" t="s">
        <v>909</v>
      </c>
      <c r="H6" s="98" t="s">
        <v>910</v>
      </c>
      <c r="I6" s="98" t="s">
        <v>911</v>
      </c>
      <c r="J6" s="98" t="s">
        <v>912</v>
      </c>
      <c r="K6" s="6"/>
    </row>
    <row r="7" customFormat="false" ht="16.5" hidden="false" customHeight="true" outlineLevel="0" collapsed="false">
      <c r="B7" s="113" t="s">
        <v>7740</v>
      </c>
      <c r="C7" s="571" t="n">
        <f aca="false">('F&amp;B · Revenue'!D34*'F&amp;B · Costs'!C41)*'F&amp;B · 8-Year'!C8</f>
        <v>306043.44</v>
      </c>
      <c r="D7" s="571" t="n">
        <f aca="false">('F&amp;B · Revenue'!D34*'F&amp;B · Costs'!C41)*'F&amp;B · 8-Year'!D8</f>
        <v>344298.87</v>
      </c>
      <c r="E7" s="571" t="n">
        <f aca="false">('F&amp;B · Revenue'!D34*'F&amp;B · Costs'!C41)*'F&amp;B · 8-Year'!E8</f>
        <v>382554.3</v>
      </c>
      <c r="F7" s="571" t="n">
        <f aca="false">('F&amp;B · Revenue'!D34*'F&amp;B · Costs'!C41)*'F&amp;B · 8-Year'!F8</f>
        <v>382554.3</v>
      </c>
      <c r="G7" s="571" t="n">
        <f aca="false">('F&amp;B · Revenue'!D34*'F&amp;B · Costs'!C41)*'F&amp;B · 8-Year'!G8</f>
        <v>401682.015</v>
      </c>
      <c r="H7" s="571" t="n">
        <f aca="false">('F&amp;B · Revenue'!D34*'F&amp;B · Costs'!C41)*'F&amp;B · 8-Year'!H8</f>
        <v>421766.11575</v>
      </c>
      <c r="I7" s="571" t="n">
        <f aca="false">('F&amp;B · Revenue'!D34*'F&amp;B · Costs'!C41)*'F&amp;B · 8-Year'!I8</f>
        <v>442854.4215375</v>
      </c>
      <c r="J7" s="571" t="n">
        <f aca="false">('F&amp;B · Revenue'!D34*'F&amp;B · Costs'!C41)*'F&amp;B · 8-Year'!J8</f>
        <v>464997.142614375</v>
      </c>
      <c r="K7" s="6"/>
    </row>
    <row r="8" customFormat="false" ht="16.5" hidden="false" customHeight="true" outlineLevel="0" collapsed="false">
      <c r="B8" s="113" t="s">
        <v>7483</v>
      </c>
      <c r="C8" s="571" t="n">
        <f aca="false">('F&amp;B · Revenue'!D35*'F&amp;B · Costs'!C41)*'F&amp;B · 8-Year'!C8</f>
        <v>11040</v>
      </c>
      <c r="D8" s="571" t="n">
        <f aca="false">('F&amp;B · Revenue'!D35*'F&amp;B · Costs'!C41)*'F&amp;B · 8-Year'!D8</f>
        <v>12420</v>
      </c>
      <c r="E8" s="571" t="n">
        <f aca="false">('F&amp;B · Revenue'!D35*'F&amp;B · Costs'!C41)*'F&amp;B · 8-Year'!E8</f>
        <v>13800</v>
      </c>
      <c r="F8" s="571" t="n">
        <f aca="false">('F&amp;B · Revenue'!D35*'F&amp;B · Costs'!C41)*'F&amp;B · 8-Year'!F8</f>
        <v>13800</v>
      </c>
      <c r="G8" s="571" t="n">
        <f aca="false">('F&amp;B · Revenue'!D35*'F&amp;B · Costs'!C41)*'F&amp;B · 8-Year'!G8</f>
        <v>14490</v>
      </c>
      <c r="H8" s="571" t="n">
        <f aca="false">('F&amp;B · Revenue'!D35*'F&amp;B · Costs'!C41)*'F&amp;B · 8-Year'!H8</f>
        <v>15214.5</v>
      </c>
      <c r="I8" s="571" t="n">
        <f aca="false">('F&amp;B · Revenue'!D35*'F&amp;B · Costs'!C41)*'F&amp;B · 8-Year'!I8</f>
        <v>15975.225</v>
      </c>
      <c r="J8" s="571" t="n">
        <f aca="false">('F&amp;B · Revenue'!D35*'F&amp;B · Costs'!C41)*'F&amp;B · 8-Year'!J8</f>
        <v>16773.98625</v>
      </c>
      <c r="K8" s="6"/>
    </row>
    <row r="9" customFormat="false" ht="16.5" hidden="false" customHeight="true" outlineLevel="0" collapsed="false">
      <c r="B9" s="113" t="s">
        <v>7741</v>
      </c>
      <c r="C9" s="571" t="n">
        <f aca="false">('F&amp;B · Revenue'!D36*'F&amp;B · Costs'!C41)*'F&amp;B · 8-Year'!C8</f>
        <v>201600</v>
      </c>
      <c r="D9" s="571" t="n">
        <f aca="false">('F&amp;B · Revenue'!D36*'F&amp;B · Costs'!C41)*'F&amp;B · 8-Year'!D8</f>
        <v>226800</v>
      </c>
      <c r="E9" s="571" t="n">
        <f aca="false">('F&amp;B · Revenue'!D36*'F&amp;B · Costs'!C41)*'F&amp;B · 8-Year'!E8</f>
        <v>252000</v>
      </c>
      <c r="F9" s="571" t="n">
        <f aca="false">('F&amp;B · Revenue'!D36*'F&amp;B · Costs'!C41)*'F&amp;B · 8-Year'!F8</f>
        <v>252000</v>
      </c>
      <c r="G9" s="571" t="n">
        <f aca="false">('F&amp;B · Revenue'!D36*'F&amp;B · Costs'!C41)*'F&amp;B · 8-Year'!G8</f>
        <v>264600</v>
      </c>
      <c r="H9" s="571" t="n">
        <f aca="false">('F&amp;B · Revenue'!D36*'F&amp;B · Costs'!C41)*'F&amp;B · 8-Year'!H8</f>
        <v>277830</v>
      </c>
      <c r="I9" s="571" t="n">
        <f aca="false">('F&amp;B · Revenue'!D36*'F&amp;B · Costs'!C41)*'F&amp;B · 8-Year'!I8</f>
        <v>291721.5</v>
      </c>
      <c r="J9" s="571" t="n">
        <f aca="false">('F&amp;B · Revenue'!D36*'F&amp;B · Costs'!C41)*'F&amp;B · 8-Year'!J8</f>
        <v>306307.575</v>
      </c>
      <c r="K9" s="6"/>
    </row>
    <row r="10" customFormat="false" ht="16.5" hidden="false" customHeight="true" outlineLevel="0" collapsed="false">
      <c r="B10" s="113" t="s">
        <v>7742</v>
      </c>
      <c r="C10" s="571" t="n">
        <f aca="false">('F&amp;B · Revenue'!D37*'F&amp;B · Costs'!C41)*'F&amp;B · 8-Year'!C8</f>
        <v>9600</v>
      </c>
      <c r="D10" s="571" t="n">
        <f aca="false">('F&amp;B · Revenue'!D37*'F&amp;B · Costs'!C41)*'F&amp;B · 8-Year'!D8</f>
        <v>10800</v>
      </c>
      <c r="E10" s="571" t="n">
        <f aca="false">('F&amp;B · Revenue'!D37*'F&amp;B · Costs'!C41)*'F&amp;B · 8-Year'!E8</f>
        <v>12000</v>
      </c>
      <c r="F10" s="571" t="n">
        <f aca="false">('F&amp;B · Revenue'!D37*'F&amp;B · Costs'!C41)*'F&amp;B · 8-Year'!F8</f>
        <v>12000</v>
      </c>
      <c r="G10" s="571" t="n">
        <f aca="false">('F&amp;B · Revenue'!D37*'F&amp;B · Costs'!C41)*'F&amp;B · 8-Year'!G8</f>
        <v>12600</v>
      </c>
      <c r="H10" s="571" t="n">
        <f aca="false">('F&amp;B · Revenue'!D37*'F&amp;B · Costs'!C41)*'F&amp;B · 8-Year'!H8</f>
        <v>13230</v>
      </c>
      <c r="I10" s="571" t="n">
        <f aca="false">('F&amp;B · Revenue'!D37*'F&amp;B · Costs'!C41)*'F&amp;B · 8-Year'!I8</f>
        <v>13891.5</v>
      </c>
      <c r="J10" s="571" t="n">
        <f aca="false">('F&amp;B · Revenue'!D37*'F&amp;B · Costs'!C41)*'F&amp;B · 8-Year'!J8</f>
        <v>14586.075</v>
      </c>
      <c r="K10" s="6"/>
    </row>
    <row r="11" customFormat="false" ht="16.5" hidden="false" customHeight="true" outlineLevel="0" collapsed="false">
      <c r="B11" s="113" t="s">
        <v>7743</v>
      </c>
      <c r="C11" s="571" t="n">
        <f aca="false">('F&amp;B · Revenue'!D38*'F&amp;B · Costs'!C41)*'F&amp;B · 8-Year'!C8</f>
        <v>103488</v>
      </c>
      <c r="D11" s="571" t="n">
        <f aca="false">('F&amp;B · Revenue'!D38*'F&amp;B · Costs'!C41)*'F&amp;B · 8-Year'!D8</f>
        <v>116424</v>
      </c>
      <c r="E11" s="571" t="n">
        <f aca="false">('F&amp;B · Revenue'!D38*'F&amp;B · Costs'!C41)*'F&amp;B · 8-Year'!E8</f>
        <v>129360</v>
      </c>
      <c r="F11" s="571" t="n">
        <f aca="false">('F&amp;B · Revenue'!D38*'F&amp;B · Costs'!C41)*'F&amp;B · 8-Year'!F8</f>
        <v>129360</v>
      </c>
      <c r="G11" s="571" t="n">
        <f aca="false">('F&amp;B · Revenue'!D38*'F&amp;B · Costs'!C41)*'F&amp;B · 8-Year'!G8</f>
        <v>135828</v>
      </c>
      <c r="H11" s="571" t="n">
        <f aca="false">('F&amp;B · Revenue'!D38*'F&amp;B · Costs'!C41)*'F&amp;B · 8-Year'!H8</f>
        <v>142619.4</v>
      </c>
      <c r="I11" s="571" t="n">
        <f aca="false">('F&amp;B · Revenue'!D38*'F&amp;B · Costs'!C41)*'F&amp;B · 8-Year'!I8</f>
        <v>149750.37</v>
      </c>
      <c r="J11" s="571" t="n">
        <f aca="false">('F&amp;B · Revenue'!D38*'F&amp;B · Costs'!C41)*'F&amp;B · 8-Year'!J8</f>
        <v>157237.8885</v>
      </c>
      <c r="K11" s="6"/>
    </row>
    <row r="12" customFormat="false" ht="21.75" hidden="false" customHeight="true" outlineLevel="0" collapsed="false">
      <c r="B12" s="117" t="s">
        <v>4983</v>
      </c>
      <c r="C12" s="1291" t="n">
        <f aca="false">'F&amp;B · 8-Year'!C11</f>
        <v>631771.44</v>
      </c>
      <c r="D12" s="1291" t="n">
        <f aca="false">'F&amp;B · 8-Year'!D11</f>
        <v>710742.87</v>
      </c>
      <c r="E12" s="1291" t="n">
        <f aca="false">'F&amp;B · 8-Year'!E11</f>
        <v>789714.3</v>
      </c>
      <c r="F12" s="1291" t="n">
        <f aca="false">'F&amp;B · 8-Year'!F11</f>
        <v>789714.3</v>
      </c>
      <c r="G12" s="1291" t="n">
        <f aca="false">'F&amp;B · 8-Year'!G11</f>
        <v>829200.015</v>
      </c>
      <c r="H12" s="1291" t="n">
        <f aca="false">'F&amp;B · 8-Year'!H11</f>
        <v>870660.01575</v>
      </c>
      <c r="I12" s="1291" t="n">
        <f aca="false">'F&amp;B · 8-Year'!I11</f>
        <v>914193.0165375</v>
      </c>
      <c r="J12" s="1291" t="n">
        <f aca="false">'F&amp;B · 8-Year'!J11</f>
        <v>959902.667364375</v>
      </c>
      <c r="K12" s="6"/>
    </row>
    <row r="13" customFormat="false" ht="15" hidden="false" customHeight="true" outlineLevel="0" collapsed="false">
      <c r="B13" s="6"/>
      <c r="K13" s="6"/>
    </row>
    <row r="14" customFormat="false" ht="21.75" hidden="false" customHeight="true" outlineLevel="0" collapsed="false">
      <c r="B14" s="575" t="s">
        <v>4984</v>
      </c>
      <c r="C14" s="575"/>
      <c r="D14" s="575"/>
      <c r="E14" s="575"/>
      <c r="F14" s="575"/>
      <c r="G14" s="575"/>
      <c r="H14" s="575"/>
      <c r="I14" s="575"/>
      <c r="J14" s="575"/>
      <c r="K14" s="575"/>
    </row>
    <row r="15" customFormat="false" ht="15" hidden="false" customHeight="true" outlineLevel="0" collapsed="false">
      <c r="B15" s="113" t="s">
        <v>4985</v>
      </c>
      <c r="C15" s="360" t="n">
        <f aca="false">-'F&amp;B · 8-Year'!C17</f>
        <v>-509910.52288</v>
      </c>
      <c r="D15" s="360" t="n">
        <f aca="false">-'F&amp;B · 8-Year'!D17</f>
        <v>-544677.14944</v>
      </c>
      <c r="E15" s="360" t="n">
        <f aca="false">-'F&amp;B · 8-Year'!E17</f>
        <v>-579443.776</v>
      </c>
      <c r="F15" s="360" t="n">
        <f aca="false">-'F&amp;B · 8-Year'!F17</f>
        <v>-579443.776</v>
      </c>
      <c r="G15" s="360" t="n">
        <f aca="false">-'F&amp;B · 8-Year'!G17</f>
        <v>-596827.08928</v>
      </c>
      <c r="H15" s="360" t="n">
        <f aca="false">-'F&amp;B · 8-Year'!H17</f>
        <v>-615079.568224</v>
      </c>
      <c r="I15" s="360" t="n">
        <f aca="false">-'F&amp;B · 8-Year'!I17</f>
        <v>-634244.6711152</v>
      </c>
      <c r="J15" s="360" t="n">
        <f aca="false">-'F&amp;B · 8-Year'!J17</f>
        <v>-654368.02915096</v>
      </c>
      <c r="K15" s="6"/>
    </row>
    <row r="16" customFormat="false" ht="15" hidden="false" customHeight="true" outlineLevel="0" collapsed="false">
      <c r="B16" s="6"/>
      <c r="K16" s="6"/>
    </row>
    <row r="17" customFormat="false" ht="21.75" hidden="false" customHeight="true" outlineLevel="0" collapsed="false">
      <c r="B17" s="72" t="s">
        <v>4093</v>
      </c>
      <c r="C17" s="72"/>
      <c r="D17" s="72"/>
      <c r="E17" s="72"/>
      <c r="F17" s="72"/>
      <c r="G17" s="72"/>
      <c r="H17" s="72"/>
      <c r="I17" s="72"/>
      <c r="J17" s="72"/>
      <c r="K17" s="72"/>
    </row>
    <row r="18" customFormat="false" ht="21.75" hidden="false" customHeight="true" outlineLevel="0" collapsed="false">
      <c r="B18" s="117" t="s">
        <v>4986</v>
      </c>
      <c r="C18" s="577" t="n">
        <f aca="false">C12+C15</f>
        <v>121860.91712</v>
      </c>
      <c r="D18" s="577" t="n">
        <f aca="false">D12+D15</f>
        <v>166065.72056</v>
      </c>
      <c r="E18" s="577" t="n">
        <f aca="false">E12+E15</f>
        <v>210270.524</v>
      </c>
      <c r="F18" s="577" t="n">
        <f aca="false">F12+F15</f>
        <v>210270.524</v>
      </c>
      <c r="G18" s="577" t="n">
        <f aca="false">G12+G15</f>
        <v>232372.92572</v>
      </c>
      <c r="H18" s="577" t="n">
        <f aca="false">H12+H15</f>
        <v>255580.447526</v>
      </c>
      <c r="I18" s="577" t="n">
        <f aca="false">I12+I15</f>
        <v>279948.3454223</v>
      </c>
      <c r="J18" s="577" t="n">
        <f aca="false">J12+J15</f>
        <v>305534.638213415</v>
      </c>
      <c r="K18" s="6"/>
    </row>
    <row r="19" customFormat="false" ht="15" hidden="false" customHeight="true" outlineLevel="0" collapsed="false">
      <c r="B19" s="128" t="s">
        <v>4095</v>
      </c>
      <c r="C19" s="593" t="n">
        <f aca="false">C18/C12</f>
        <v>0.192887663804492</v>
      </c>
      <c r="D19" s="593" t="n">
        <f aca="false">D18/D12</f>
        <v>0.233650913107296</v>
      </c>
      <c r="E19" s="593" t="n">
        <f aca="false">E18/E12</f>
        <v>0.266261512549538</v>
      </c>
      <c r="F19" s="593" t="n">
        <f aca="false">F18/F12</f>
        <v>0.266261512549538</v>
      </c>
      <c r="G19" s="593" t="n">
        <f aca="false">G18/G12</f>
        <v>0.280237483739071</v>
      </c>
      <c r="H19" s="593" t="n">
        <f aca="false">H18/H12</f>
        <v>0.293547932491007</v>
      </c>
      <c r="I19" s="593" t="n">
        <f aca="false">I18/I12</f>
        <v>0.306224550349993</v>
      </c>
      <c r="J19" s="593" t="n">
        <f aca="false">J18/J12</f>
        <v>0.318297519739504</v>
      </c>
      <c r="K19" s="6"/>
    </row>
    <row r="20" customFormat="false" ht="15" hidden="false" customHeight="true" outlineLevel="0" collapsed="false">
      <c r="B20" s="6"/>
      <c r="K20" s="6"/>
    </row>
    <row r="21" customFormat="false" ht="21.75" hidden="false" customHeight="true" outlineLevel="0" collapsed="false">
      <c r="B21" s="96" t="s">
        <v>4987</v>
      </c>
      <c r="C21" s="96"/>
      <c r="D21" s="96"/>
      <c r="E21" s="96"/>
      <c r="F21" s="96"/>
      <c r="G21" s="96"/>
      <c r="H21" s="96"/>
      <c r="I21" s="96"/>
      <c r="J21" s="96"/>
      <c r="K21" s="96"/>
    </row>
    <row r="22" customFormat="false" ht="15" hidden="false" customHeight="true" outlineLevel="0" collapsed="false">
      <c r="B22" s="113" t="s">
        <v>4988</v>
      </c>
      <c r="C22" s="1292" t="n">
        <f aca="false">-350000*(C12/7219092)</f>
        <v>-30629.8914046254</v>
      </c>
      <c r="D22" s="1292" t="n">
        <f aca="false">-350000*(D12/7219092)</f>
        <v>-34458.6278302036</v>
      </c>
      <c r="E22" s="1292" t="n">
        <f aca="false">-350000*(E12/7219092)</f>
        <v>-38287.3642557818</v>
      </c>
      <c r="F22" s="1292" t="n">
        <f aca="false">-350000*(F12/7219092)</f>
        <v>-38287.3642557818</v>
      </c>
      <c r="G22" s="1292" t="n">
        <f aca="false">-350000*(G12/7219092)</f>
        <v>-40201.7324685708</v>
      </c>
      <c r="H22" s="1292" t="n">
        <f aca="false">-350000*(H12/7219092)</f>
        <v>-42211.8190919994</v>
      </c>
      <c r="I22" s="1292" t="n">
        <f aca="false">-350000*(I12/7219092)</f>
        <v>-44322.4100465994</v>
      </c>
      <c r="J22" s="1292" t="n">
        <f aca="false">-350000*(J12/7219092)</f>
        <v>-46538.5305489293</v>
      </c>
      <c r="K22" s="6"/>
    </row>
    <row r="23" customFormat="false" ht="15" hidden="false" customHeight="true" outlineLevel="0" collapsed="false">
      <c r="B23" s="6"/>
      <c r="K23" s="6"/>
    </row>
    <row r="24" customFormat="false" ht="21.75" hidden="false" customHeight="true" outlineLevel="0" collapsed="false">
      <c r="B24" s="43" t="s">
        <v>4989</v>
      </c>
      <c r="C24" s="43"/>
      <c r="D24" s="43"/>
      <c r="E24" s="43"/>
      <c r="F24" s="43"/>
      <c r="G24" s="43"/>
      <c r="H24" s="43"/>
      <c r="I24" s="43"/>
      <c r="J24" s="43"/>
      <c r="K24" s="43"/>
    </row>
    <row r="25" customFormat="false" ht="21.75" hidden="false" customHeight="true" outlineLevel="0" collapsed="false">
      <c r="B25" s="117" t="s">
        <v>4990</v>
      </c>
      <c r="C25" s="1293" t="n">
        <f aca="false">C18+C22</f>
        <v>91231.0257153746</v>
      </c>
      <c r="D25" s="1293" t="n">
        <f aca="false">D18+D22</f>
        <v>131607.092729796</v>
      </c>
      <c r="E25" s="1293" t="n">
        <f aca="false">E18+E22</f>
        <v>171983.159744218</v>
      </c>
      <c r="F25" s="1293" t="n">
        <f aca="false">F18+F22</f>
        <v>171983.159744218</v>
      </c>
      <c r="G25" s="1293" t="n">
        <f aca="false">G18+G22</f>
        <v>192171.193251429</v>
      </c>
      <c r="H25" s="1293" t="n">
        <f aca="false">H18+H22</f>
        <v>213368.628434001</v>
      </c>
      <c r="I25" s="1293" t="n">
        <f aca="false">I18+I22</f>
        <v>235625.935375701</v>
      </c>
      <c r="J25" s="1293" t="n">
        <f aca="false">J18+J22</f>
        <v>258996.107664486</v>
      </c>
      <c r="K25" s="6"/>
    </row>
    <row r="26" customFormat="false" ht="15" hidden="false" customHeight="true" outlineLevel="0" collapsed="false">
      <c r="B26" s="128" t="s">
        <v>4991</v>
      </c>
      <c r="C26" s="593" t="n">
        <f aca="false">C25/C12</f>
        <v>0.144405112259229</v>
      </c>
      <c r="D26" s="593" t="n">
        <f aca="false">D25/D12</f>
        <v>0.185168361562032</v>
      </c>
      <c r="E26" s="593" t="n">
        <f aca="false">E25/E12</f>
        <v>0.217778961004275</v>
      </c>
      <c r="F26" s="593" t="n">
        <f aca="false">F25/F12</f>
        <v>0.217778961004275</v>
      </c>
      <c r="G26" s="593" t="n">
        <f aca="false">G25/G12</f>
        <v>0.231754932193808</v>
      </c>
      <c r="H26" s="593" t="n">
        <f aca="false">H25/H12</f>
        <v>0.245065380945743</v>
      </c>
      <c r="I26" s="593" t="n">
        <f aca="false">I25/I12</f>
        <v>0.25774199880473</v>
      </c>
      <c r="J26" s="593" t="n">
        <f aca="false">J25/J12</f>
        <v>0.269814968194241</v>
      </c>
      <c r="K26" s="6"/>
    </row>
    <row r="27" customFormat="false" ht="15" hidden="false" customHeight="true" outlineLevel="0" collapsed="false">
      <c r="B27" s="6"/>
      <c r="K27" s="6"/>
    </row>
    <row r="28" customFormat="false" ht="15" hidden="false" customHeight="true" outlineLevel="0" collapsed="false">
      <c r="B28" s="6"/>
      <c r="K28" s="6"/>
    </row>
    <row r="29" customFormat="false" ht="21.75" hidden="false" customHeight="true" outlineLevel="0" collapsed="false">
      <c r="B29" s="304" t="s">
        <v>4992</v>
      </c>
      <c r="C29" s="304"/>
      <c r="D29" s="304"/>
      <c r="E29" s="304"/>
      <c r="F29" s="304"/>
      <c r="G29" s="304"/>
      <c r="H29" s="304"/>
      <c r="I29" s="304"/>
      <c r="J29" s="304"/>
      <c r="K29" s="304"/>
    </row>
    <row r="30" customFormat="false" ht="120" hidden="false" customHeight="true" outlineLevel="0" collapsed="false">
      <c r="B30" s="85" t="s">
        <v>4993</v>
      </c>
      <c r="C30" s="85"/>
      <c r="D30" s="85"/>
      <c r="E30" s="85"/>
      <c r="F30" s="85"/>
      <c r="G30" s="85"/>
      <c r="H30" s="85"/>
      <c r="I30" s="85"/>
      <c r="J30" s="85"/>
      <c r="K30" s="6"/>
    </row>
    <row r="31" customFormat="false" ht="15" hidden="false" customHeight="true" outlineLevel="0" collapsed="false">
      <c r="B31" s="85"/>
      <c r="C31" s="85"/>
      <c r="D31" s="85"/>
      <c r="E31" s="85"/>
      <c r="F31" s="85"/>
      <c r="G31" s="85"/>
      <c r="H31" s="85"/>
      <c r="I31" s="85"/>
      <c r="J31" s="85"/>
      <c r="K31" s="6"/>
    </row>
    <row r="32" customFormat="false" ht="15" hidden="false" customHeight="true" outlineLevel="0" collapsed="false">
      <c r="B32" s="85"/>
      <c r="C32" s="85"/>
      <c r="D32" s="85"/>
      <c r="E32" s="85"/>
      <c r="F32" s="85"/>
      <c r="G32" s="85"/>
      <c r="H32" s="85"/>
      <c r="I32" s="85"/>
      <c r="J32" s="85"/>
      <c r="K32" s="6"/>
    </row>
    <row r="33" customFormat="false" ht="15" hidden="false" customHeight="true" outlineLevel="0" collapsed="false">
      <c r="B33" s="85"/>
      <c r="C33" s="85"/>
      <c r="D33" s="85"/>
      <c r="E33" s="85"/>
      <c r="F33" s="85"/>
      <c r="G33" s="85"/>
      <c r="H33" s="85"/>
      <c r="I33" s="85"/>
      <c r="J33" s="85"/>
      <c r="K33" s="6"/>
    </row>
  </sheetData>
  <mergeCells count="10">
    <mergeCell ref="B2:G2"/>
    <mergeCell ref="H2:K2"/>
    <mergeCell ref="B3:K3"/>
    <mergeCell ref="B5:K5"/>
    <mergeCell ref="B14:K14"/>
    <mergeCell ref="B17:K17"/>
    <mergeCell ref="B21:K21"/>
    <mergeCell ref="B24:K24"/>
    <mergeCell ref="B29:K29"/>
    <mergeCell ref="B30:J33"/>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K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10" min="3" style="0" width="11"/>
    <col collapsed="false" customWidth="true" hidden="false" outlineLevel="0" max="11" min="11" style="0" width="9"/>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7870</v>
      </c>
      <c r="C2" s="15"/>
      <c r="D2" s="15"/>
      <c r="E2" s="15"/>
      <c r="F2" s="15"/>
      <c r="G2" s="15"/>
      <c r="H2" s="89" t="s">
        <v>995</v>
      </c>
      <c r="I2" s="89"/>
      <c r="J2" s="89"/>
      <c r="K2" s="89"/>
    </row>
    <row r="3" customFormat="false" ht="18" hidden="false" customHeight="true" outlineLevel="0" collapsed="false">
      <c r="B3" s="90" t="s">
        <v>4995</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6" t="s">
        <v>4996</v>
      </c>
      <c r="C5" s="96"/>
      <c r="D5" s="96"/>
      <c r="E5" s="96"/>
      <c r="F5" s="96"/>
      <c r="G5" s="96"/>
      <c r="H5" s="96"/>
      <c r="I5" s="96"/>
      <c r="J5" s="96"/>
      <c r="K5" s="96"/>
    </row>
    <row r="6" customFormat="false" ht="21.75" hidden="false" customHeight="true" outlineLevel="0" collapsed="false">
      <c r="B6" s="97" t="s">
        <v>1141</v>
      </c>
      <c r="C6" s="98" t="s">
        <v>760</v>
      </c>
      <c r="D6" s="98" t="s">
        <v>908</v>
      </c>
      <c r="E6" s="98" t="s">
        <v>765</v>
      </c>
      <c r="F6" s="98" t="s">
        <v>770</v>
      </c>
      <c r="G6" s="98" t="s">
        <v>909</v>
      </c>
      <c r="H6" s="98" t="s">
        <v>910</v>
      </c>
      <c r="I6" s="98" t="s">
        <v>911</v>
      </c>
      <c r="J6" s="98" t="s">
        <v>912</v>
      </c>
      <c r="K6" s="6"/>
    </row>
    <row r="7" customFormat="false" ht="15" hidden="false" customHeight="true" outlineLevel="0" collapsed="false">
      <c r="B7" s="113" t="s">
        <v>2487</v>
      </c>
      <c r="C7" s="571" t="n">
        <f aca="false">'F&amp;B · 8-Year'!C11</f>
        <v>631771.44</v>
      </c>
      <c r="D7" s="571" t="n">
        <f aca="false">'F&amp;B · 8-Year'!D11</f>
        <v>710742.87</v>
      </c>
      <c r="E7" s="571" t="n">
        <f aca="false">'F&amp;B · 8-Year'!E11</f>
        <v>789714.3</v>
      </c>
      <c r="F7" s="571" t="n">
        <f aca="false">'F&amp;B · 8-Year'!F11</f>
        <v>789714.3</v>
      </c>
      <c r="G7" s="571" t="n">
        <f aca="false">'F&amp;B · 8-Year'!G11</f>
        <v>829200.015</v>
      </c>
      <c r="H7" s="571" t="n">
        <f aca="false">'F&amp;B · 8-Year'!H11</f>
        <v>870660.01575</v>
      </c>
      <c r="I7" s="571" t="n">
        <f aca="false">'F&amp;B · 8-Year'!I11</f>
        <v>914193.0165375</v>
      </c>
      <c r="J7" s="571" t="n">
        <f aca="false">'F&amp;B · 8-Year'!J11</f>
        <v>959902.667364375</v>
      </c>
      <c r="K7" s="6"/>
    </row>
    <row r="8" customFormat="false" ht="15" hidden="false" customHeight="true" outlineLevel="0" collapsed="false">
      <c r="B8" s="113" t="s">
        <v>4997</v>
      </c>
      <c r="C8" s="1294" t="n">
        <f aca="false">'F&amp;B · 8-Year'!C20</f>
        <v>121860.91712</v>
      </c>
      <c r="D8" s="1294" t="n">
        <f aca="false">'F&amp;B · 8-Year'!D20</f>
        <v>166065.72056</v>
      </c>
      <c r="E8" s="1294" t="n">
        <f aca="false">'F&amp;B · 8-Year'!E20</f>
        <v>210270.524</v>
      </c>
      <c r="F8" s="1294" t="n">
        <f aca="false">'F&amp;B · 8-Year'!F20</f>
        <v>210270.524</v>
      </c>
      <c r="G8" s="1294" t="n">
        <f aca="false">'F&amp;B · 8-Year'!G20</f>
        <v>232372.92572</v>
      </c>
      <c r="H8" s="1294" t="n">
        <f aca="false">'F&amp;B · 8-Year'!H20</f>
        <v>255580.447526</v>
      </c>
      <c r="I8" s="1294" t="n">
        <f aca="false">'F&amp;B · 8-Year'!I20</f>
        <v>279948.3454223</v>
      </c>
      <c r="J8" s="1294" t="n">
        <f aca="false">'F&amp;B · 8-Year'!J20</f>
        <v>305534.638213415</v>
      </c>
      <c r="K8" s="6"/>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6.5" hidden="false" customHeight="true" outlineLevel="0" collapsed="false">
      <c r="B11" s="113" t="s">
        <v>4998</v>
      </c>
      <c r="C11" s="1295" t="n">
        <v>0.04</v>
      </c>
      <c r="D11" s="565" t="s">
        <v>7871</v>
      </c>
      <c r="K11" s="6"/>
    </row>
    <row r="12" customFormat="false" ht="16.5" hidden="false" customHeight="true" outlineLevel="0" collapsed="false">
      <c r="B12" s="113" t="s">
        <v>5000</v>
      </c>
      <c r="C12" s="1000" t="n">
        <v>7</v>
      </c>
      <c r="D12" s="565" t="s">
        <v>7872</v>
      </c>
      <c r="K12" s="6"/>
    </row>
    <row r="13" customFormat="false" ht="16.5" hidden="false" customHeight="true" outlineLevel="0" collapsed="false">
      <c r="B13" s="113" t="s">
        <v>5002</v>
      </c>
      <c r="C13" s="1000" t="n">
        <v>30</v>
      </c>
      <c r="D13" s="565" t="s">
        <v>7873</v>
      </c>
      <c r="K13" s="6"/>
    </row>
    <row r="14" customFormat="false" ht="16.5" hidden="false" customHeight="true" outlineLevel="0" collapsed="false">
      <c r="B14" s="113" t="s">
        <v>5004</v>
      </c>
      <c r="C14" s="1000" t="n">
        <v>0</v>
      </c>
      <c r="D14" s="565" t="s">
        <v>7874</v>
      </c>
      <c r="K14" s="6"/>
    </row>
    <row r="15" customFormat="false" ht="15" hidden="false" customHeight="true" outlineLevel="0" collapsed="false">
      <c r="B15" s="6"/>
      <c r="K15" s="6"/>
    </row>
    <row r="16" customFormat="false" ht="21.75" hidden="false" customHeight="true" outlineLevel="0" collapsed="false">
      <c r="B16" s="575" t="s">
        <v>5006</v>
      </c>
      <c r="C16" s="575"/>
      <c r="D16" s="575"/>
      <c r="E16" s="575"/>
      <c r="F16" s="575"/>
      <c r="G16" s="575"/>
      <c r="H16" s="575"/>
      <c r="I16" s="575"/>
      <c r="J16" s="575"/>
      <c r="K16" s="575"/>
    </row>
    <row r="17" customFormat="false" ht="15" hidden="false" customHeight="true" outlineLevel="0" collapsed="false">
      <c r="B17" s="113" t="s">
        <v>5007</v>
      </c>
      <c r="C17" s="720" t="n">
        <f aca="false">C7*$C$11</f>
        <v>25270.8576</v>
      </c>
      <c r="D17" s="720" t="n">
        <f aca="false">D7*$C$11</f>
        <v>28429.7148</v>
      </c>
      <c r="E17" s="720" t="n">
        <f aca="false">E7*$C$11</f>
        <v>31588.572</v>
      </c>
      <c r="F17" s="720" t="n">
        <f aca="false">F7*$C$11</f>
        <v>31588.572</v>
      </c>
      <c r="G17" s="720" t="n">
        <f aca="false">G7*$C$11</f>
        <v>33168.0006</v>
      </c>
      <c r="H17" s="720" t="n">
        <f aca="false">H7*$C$11</f>
        <v>34826.40063</v>
      </c>
      <c r="I17" s="720" t="n">
        <f aca="false">I7*$C$11</f>
        <v>36567.7206615</v>
      </c>
      <c r="J17" s="720" t="n">
        <f aca="false">J7*$C$11</f>
        <v>38396.106694575</v>
      </c>
      <c r="K17" s="6"/>
    </row>
    <row r="18" customFormat="false" ht="15" hidden="false" customHeight="true" outlineLevel="0" collapsed="false">
      <c r="B18" s="113" t="s">
        <v>5008</v>
      </c>
      <c r="C18" s="720" t="n">
        <f aca="false">C7/365*$C$12</f>
        <v>12116.1646027397</v>
      </c>
      <c r="D18" s="720" t="n">
        <f aca="false">D7/365*$C$12</f>
        <v>13630.6851780822</v>
      </c>
      <c r="E18" s="720" t="n">
        <f aca="false">E7/365*$C$12</f>
        <v>15145.2057534247</v>
      </c>
      <c r="F18" s="720" t="n">
        <f aca="false">F7/365*$C$12</f>
        <v>15145.2057534247</v>
      </c>
      <c r="G18" s="720" t="n">
        <f aca="false">G7/365*$C$12</f>
        <v>15902.4660410959</v>
      </c>
      <c r="H18" s="720" t="n">
        <f aca="false">H7/365*$C$12</f>
        <v>16697.5893431507</v>
      </c>
      <c r="I18" s="720" t="n">
        <f aca="false">I7/365*$C$12</f>
        <v>17532.4688103082</v>
      </c>
      <c r="J18" s="720" t="n">
        <f aca="false">J7/365*$C$12</f>
        <v>18409.0922508236</v>
      </c>
      <c r="K18" s="6"/>
    </row>
    <row r="19" customFormat="false" ht="15" hidden="false" customHeight="true" outlineLevel="0" collapsed="false">
      <c r="B19" s="113" t="s">
        <v>5009</v>
      </c>
      <c r="C19" s="648" t="n">
        <f aca="false">(C7-C8)/365*$C$13</f>
        <v>41910.4539353425</v>
      </c>
      <c r="D19" s="648" t="n">
        <f aca="false">(D7-D8)/365*$C$13</f>
        <v>44767.9848854795</v>
      </c>
      <c r="E19" s="648" t="n">
        <f aca="false">(E7-E8)/365*$C$13</f>
        <v>47625.5158356165</v>
      </c>
      <c r="F19" s="648" t="n">
        <f aca="false">(F7-F8)/365*$C$13</f>
        <v>47625.5158356165</v>
      </c>
      <c r="G19" s="648" t="n">
        <f aca="false">(G7-G8)/365*$C$13</f>
        <v>49054.2813106849</v>
      </c>
      <c r="H19" s="648" t="n">
        <f aca="false">(H7-H8)/365*$C$13</f>
        <v>50554.4850595069</v>
      </c>
      <c r="I19" s="648" t="n">
        <f aca="false">(I7-I8)/365*$C$13</f>
        <v>52129.6989957699</v>
      </c>
      <c r="J19" s="648" t="n">
        <f aca="false">(J7-J8)/365*$C$13</f>
        <v>53783.673628846</v>
      </c>
      <c r="K19" s="6"/>
    </row>
    <row r="20" customFormat="false" ht="15" hidden="false" customHeight="true" outlineLevel="0" collapsed="false">
      <c r="B20" s="113" t="s">
        <v>5010</v>
      </c>
      <c r="C20" s="648" t="n">
        <f aca="false">C7*$C$14*0.25</f>
        <v>0</v>
      </c>
      <c r="D20" s="648" t="n">
        <f aca="false">D7*$C$14*0.25</f>
        <v>0</v>
      </c>
      <c r="E20" s="648" t="n">
        <f aca="false">E7*$C$14*0.25</f>
        <v>0</v>
      </c>
      <c r="F20" s="648" t="n">
        <f aca="false">F7*$C$14*0.25</f>
        <v>0</v>
      </c>
      <c r="G20" s="648" t="n">
        <f aca="false">G7*$C$14*0.25</f>
        <v>0</v>
      </c>
      <c r="H20" s="648" t="n">
        <f aca="false">H7*$C$14*0.25</f>
        <v>0</v>
      </c>
      <c r="I20" s="648" t="n">
        <f aca="false">I7*$C$14*0.25</f>
        <v>0</v>
      </c>
      <c r="J20" s="648" t="n">
        <f aca="false">J7*$C$14*0.25</f>
        <v>0</v>
      </c>
      <c r="K20" s="6"/>
    </row>
    <row r="21" customFormat="false" ht="21.75" hidden="false" customHeight="true" outlineLevel="0" collapsed="false">
      <c r="B21" s="117" t="s">
        <v>5011</v>
      </c>
      <c r="C21" s="1291" t="n">
        <f aca="false">C17+C18-C19-C20</f>
        <v>-4523.43173260274</v>
      </c>
      <c r="D21" s="1291" t="n">
        <f aca="false">D17+D18-D19-D20</f>
        <v>-2707.58490739726</v>
      </c>
      <c r="E21" s="1291" t="n">
        <f aca="false">E17+E18-E19-E20</f>
        <v>-891.738082191783</v>
      </c>
      <c r="F21" s="1291" t="n">
        <f aca="false">F17+F18-F19-F20</f>
        <v>-891.738082191783</v>
      </c>
      <c r="G21" s="1291" t="n">
        <f aca="false">G17+G18-G19-G20</f>
        <v>16.1853304109609</v>
      </c>
      <c r="H21" s="1291" t="n">
        <f aca="false">H17+H18-H19-H20</f>
        <v>969.504913643832</v>
      </c>
      <c r="I21" s="1291" t="n">
        <f aca="false">I17+I18-I19-I20</f>
        <v>1970.49047603835</v>
      </c>
      <c r="J21" s="1291" t="n">
        <f aca="false">J17+J18-J19-J20</f>
        <v>3021.52531655261</v>
      </c>
      <c r="K21" s="6"/>
    </row>
    <row r="22" customFormat="false" ht="15" hidden="false" customHeight="true" outlineLevel="0" collapsed="false">
      <c r="B22" s="113" t="s">
        <v>5012</v>
      </c>
      <c r="C22" s="360" t="n">
        <f aca="false">C21</f>
        <v>-4523.43173260274</v>
      </c>
      <c r="D22" s="360" t="n">
        <f aca="false">D21-C21</f>
        <v>1815.84682520548</v>
      </c>
      <c r="E22" s="360" t="n">
        <f aca="false">E21-D21</f>
        <v>1815.84682520547</v>
      </c>
      <c r="F22" s="360" t="n">
        <f aca="false">F21-E21</f>
        <v>0</v>
      </c>
      <c r="G22" s="360" t="n">
        <f aca="false">G21-F21</f>
        <v>907.923412602744</v>
      </c>
      <c r="H22" s="360" t="n">
        <f aca="false">H21-G21</f>
        <v>953.319583232871</v>
      </c>
      <c r="I22" s="360" t="n">
        <f aca="false">I21-H21</f>
        <v>1000.98556239452</v>
      </c>
      <c r="J22" s="360" t="n">
        <f aca="false">J21-I21</f>
        <v>1051.03484051426</v>
      </c>
      <c r="K22" s="6"/>
    </row>
    <row r="23" customFormat="false" ht="15" hidden="false" customHeight="true" outlineLevel="0" collapsed="false">
      <c r="B23" s="6"/>
      <c r="K23" s="6"/>
    </row>
    <row r="24" customFormat="false" ht="15" hidden="false" customHeight="true" outlineLevel="0" collapsed="false">
      <c r="B24" s="6"/>
      <c r="K24" s="6"/>
    </row>
    <row r="25" customFormat="false" ht="21.75" hidden="false" customHeight="true" outlineLevel="0" collapsed="false">
      <c r="B25" s="72" t="s">
        <v>4123</v>
      </c>
      <c r="C25" s="72"/>
      <c r="D25" s="72"/>
      <c r="E25" s="72"/>
      <c r="F25" s="72"/>
      <c r="G25" s="72"/>
      <c r="H25" s="72"/>
      <c r="I25" s="72"/>
      <c r="J25" s="72"/>
      <c r="K25" s="72"/>
    </row>
    <row r="26" customFormat="false" ht="15" hidden="false" customHeight="true" outlineLevel="0" collapsed="false">
      <c r="B26" s="113" t="s">
        <v>5013</v>
      </c>
      <c r="C26" s="1294" t="n">
        <f aca="false">C8</f>
        <v>121860.91712</v>
      </c>
      <c r="D26" s="1294" t="n">
        <f aca="false">D8</f>
        <v>166065.72056</v>
      </c>
      <c r="E26" s="1294" t="n">
        <f aca="false">E8</f>
        <v>210270.524</v>
      </c>
      <c r="F26" s="1294" t="n">
        <f aca="false">F8</f>
        <v>210270.524</v>
      </c>
      <c r="G26" s="1294" t="n">
        <f aca="false">G8</f>
        <v>232372.92572</v>
      </c>
      <c r="H26" s="1294" t="n">
        <f aca="false">H8</f>
        <v>255580.447526</v>
      </c>
      <c r="I26" s="1294" t="n">
        <f aca="false">I8</f>
        <v>279948.3454223</v>
      </c>
      <c r="J26" s="1294" t="n">
        <f aca="false">J8</f>
        <v>305534.638213415</v>
      </c>
      <c r="K26" s="6"/>
    </row>
    <row r="27" customFormat="false" ht="15" hidden="false" customHeight="true" outlineLevel="0" collapsed="false">
      <c r="B27" s="113" t="s">
        <v>5014</v>
      </c>
      <c r="C27" s="360" t="n">
        <f aca="false">-C22</f>
        <v>4523.43173260274</v>
      </c>
      <c r="D27" s="360" t="n">
        <f aca="false">-D22</f>
        <v>-1815.84682520548</v>
      </c>
      <c r="E27" s="360" t="n">
        <f aca="false">-E22</f>
        <v>-1815.84682520547</v>
      </c>
      <c r="F27" s="360" t="n">
        <f aca="false">-F22</f>
        <v>-0</v>
      </c>
      <c r="G27" s="360" t="n">
        <f aca="false">-G22</f>
        <v>-907.923412602744</v>
      </c>
      <c r="H27" s="360" t="n">
        <f aca="false">-H22</f>
        <v>-953.319583232871</v>
      </c>
      <c r="I27" s="360" t="n">
        <f aca="false">-I22</f>
        <v>-1000.98556239452</v>
      </c>
      <c r="J27" s="360" t="n">
        <f aca="false">-J22</f>
        <v>-1051.03484051426</v>
      </c>
      <c r="K27" s="6"/>
    </row>
    <row r="28" customFormat="false" ht="15" hidden="false" customHeight="true" outlineLevel="0" collapsed="false">
      <c r="B28" s="126" t="s">
        <v>5015</v>
      </c>
      <c r="C28" s="360" t="n">
        <f aca="false">-C7*UNIVERSAL_DRIVERS!$C$32</f>
        <v>-18953.1432</v>
      </c>
      <c r="D28" s="360" t="n">
        <f aca="false">-D7*UNIVERSAL_DRIVERS!$C$32</f>
        <v>-21322.2861</v>
      </c>
      <c r="E28" s="360" t="n">
        <f aca="false">-E7*UNIVERSAL_DRIVERS!$C$32</f>
        <v>-23691.429</v>
      </c>
      <c r="F28" s="360" t="n">
        <f aca="false">-F7*UNIVERSAL_DRIVERS!$C$32</f>
        <v>-23691.429</v>
      </c>
      <c r="G28" s="360" t="n">
        <f aca="false">-G7*UNIVERSAL_DRIVERS!$C$32</f>
        <v>-24876.00045</v>
      </c>
      <c r="H28" s="360" t="n">
        <f aca="false">-H7*UNIVERSAL_DRIVERS!$C$32</f>
        <v>-26119.8004725</v>
      </c>
      <c r="I28" s="360" t="n">
        <f aca="false">-I7*UNIVERSAL_DRIVERS!$C$32</f>
        <v>-27425.790496125</v>
      </c>
      <c r="J28" s="360" t="n">
        <f aca="false">-J7*UNIVERSAL_DRIVERS!$C$32</f>
        <v>-28797.0800209313</v>
      </c>
      <c r="K28" s="6"/>
    </row>
    <row r="29" customFormat="false" ht="24" hidden="false" customHeight="true" outlineLevel="0" collapsed="false">
      <c r="B29" s="117" t="s">
        <v>5016</v>
      </c>
      <c r="C29" s="1293" t="n">
        <f aca="false">C26+C27+C28</f>
        <v>107431.205652603</v>
      </c>
      <c r="D29" s="1293" t="n">
        <f aca="false">D26+D27+D28</f>
        <v>142927.587634795</v>
      </c>
      <c r="E29" s="1293" t="n">
        <f aca="false">E26+E27+E28</f>
        <v>184763.248174794</v>
      </c>
      <c r="F29" s="1293" t="n">
        <f aca="false">F26+F27+F28</f>
        <v>186579.095</v>
      </c>
      <c r="G29" s="1293" t="n">
        <f aca="false">G26+G27+G28</f>
        <v>206589.001857397</v>
      </c>
      <c r="H29" s="1293" t="n">
        <f aca="false">H26+H27+H28</f>
        <v>228507.327470267</v>
      </c>
      <c r="I29" s="1293" t="n">
        <f aca="false">I26+I27+I28</f>
        <v>251521.56936378</v>
      </c>
      <c r="J29" s="1293" t="n">
        <f aca="false">J26+J27+J28</f>
        <v>275686.52335197</v>
      </c>
      <c r="K29" s="6"/>
    </row>
  </sheetData>
  <mergeCells count="7">
    <mergeCell ref="B2:G2"/>
    <mergeCell ref="H2:K2"/>
    <mergeCell ref="B3:K3"/>
    <mergeCell ref="B5:K5"/>
    <mergeCell ref="B10:K10"/>
    <mergeCell ref="B16:K16"/>
    <mergeCell ref="B25:K25"/>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04848"/>
    <pageSetUpPr fitToPage="false"/>
  </sheetPr>
  <dimension ref="B1:N16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33" activePane="bottomRight" state="frozen"/>
      <selection pane="topLeft" activeCell="A1" activeCellId="0" sqref="A1"/>
      <selection pane="topRight" activeCell="B1" activeCellId="0" sqref="B1"/>
      <selection pane="bottomLeft" activeCell="A33" activeCellId="0" sqref="A33"/>
      <selection pane="bottomRight" activeCell="I16" activeCellId="0" sqref="I16"/>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60.5"/>
    <col collapsed="false" customWidth="true" hidden="false" outlineLevel="0" max="3" min="3" style="0" width="29.33"/>
    <col collapsed="false" customWidth="true" hidden="false" outlineLevel="0" max="13" min="4" style="0" width="15"/>
    <col collapsed="false" customWidth="true" hidden="false" outlineLevel="0" max="14" min="14" style="0" width="11"/>
  </cols>
  <sheetData>
    <row r="1" customFormat="false" ht="15" hidden="false" customHeight="true" outlineLevel="0" collapsed="false">
      <c r="B1" s="6"/>
      <c r="N1" s="6"/>
    </row>
    <row r="2" customFormat="false" ht="36" hidden="false" customHeight="true" outlineLevel="0" collapsed="false">
      <c r="B2" s="419" t="s">
        <v>1378</v>
      </c>
      <c r="N2" s="6"/>
    </row>
    <row r="3" customFormat="false" ht="66" hidden="false" customHeight="true" outlineLevel="0" collapsed="false">
      <c r="B3" s="420" t="s">
        <v>1379</v>
      </c>
      <c r="N3" s="6"/>
    </row>
    <row r="4" customFormat="false" ht="60" hidden="false" customHeight="true" outlineLevel="0" collapsed="false">
      <c r="B4" s="191" t="s">
        <v>1380</v>
      </c>
      <c r="N4" s="6"/>
    </row>
    <row r="5" customFormat="false" ht="21.75" hidden="false" customHeight="true" outlineLevel="0" collapsed="false">
      <c r="B5" s="97" t="s">
        <v>666</v>
      </c>
      <c r="C5" s="98" t="s">
        <v>756</v>
      </c>
      <c r="D5" s="98" t="s">
        <v>760</v>
      </c>
      <c r="E5" s="98" t="s">
        <v>908</v>
      </c>
      <c r="F5" s="98" t="s">
        <v>765</v>
      </c>
      <c r="G5" s="98" t="s">
        <v>770</v>
      </c>
      <c r="H5" s="98" t="s">
        <v>909</v>
      </c>
      <c r="I5" s="98" t="s">
        <v>910</v>
      </c>
      <c r="J5" s="98" t="s">
        <v>911</v>
      </c>
      <c r="K5" s="98" t="s">
        <v>912</v>
      </c>
      <c r="L5" s="98" t="s">
        <v>1200</v>
      </c>
      <c r="M5" s="98" t="s">
        <v>1201</v>
      </c>
      <c r="N5" s="6"/>
    </row>
    <row r="6" customFormat="false" ht="36" hidden="false" customHeight="true" outlineLevel="0" collapsed="false">
      <c r="B6" s="332" t="s">
        <v>1381</v>
      </c>
      <c r="C6" s="332"/>
      <c r="D6" s="332"/>
      <c r="E6" s="332"/>
      <c r="F6" s="332"/>
      <c r="G6" s="332"/>
      <c r="H6" s="332"/>
      <c r="I6" s="332"/>
      <c r="J6" s="332"/>
      <c r="K6" s="332"/>
      <c r="L6" s="332"/>
      <c r="M6" s="332"/>
      <c r="N6" s="6"/>
    </row>
    <row r="7" customFormat="false" ht="15" hidden="false" customHeight="true" outlineLevel="0" collapsed="false">
      <c r="B7" s="113" t="s">
        <v>217</v>
      </c>
      <c r="C7" s="438" t="n">
        <v>0</v>
      </c>
      <c r="D7" s="438" t="n">
        <f aca="false">'Gaming · 8-Year'!C11*SURVIVAL_ASSUMPTIONS!D25</f>
        <v>486106.8207237</v>
      </c>
      <c r="E7" s="438" t="n">
        <f aca="false">'Gaming · 8-Year'!D11*SURVIVAL_ASSUMPTIONS!C25</f>
        <v>704674.850486134</v>
      </c>
      <c r="F7" s="438" t="n">
        <f aca="false">'Gaming · 8-Year'!E11*SURVIVAL_ASSUMPTIONS!C25</f>
        <v>764015.890527072</v>
      </c>
      <c r="G7" s="438" t="n">
        <f aca="false">'Gaming · 8-Year'!F11*SURVIVAL_ASSUMPTIONS!C25</f>
        <v>786936.367242884</v>
      </c>
      <c r="H7" s="438" t="n">
        <f aca="false">'Gaming · 8-Year'!G11*SURVIVAL_ASSUMPTIONS!C25</f>
        <v>851071.681173179</v>
      </c>
      <c r="I7" s="438" t="n">
        <f aca="false">'Gaming · 8-Year'!H11*SURVIVAL_ASSUMPTIONS!C25</f>
        <v>901649.655368614</v>
      </c>
      <c r="J7" s="438" t="n">
        <f aca="false">'Gaming · 8-Year'!I11*SURVIVAL_ASSUMPTIONS!C25</f>
        <v>945897.277345036</v>
      </c>
      <c r="K7" s="438" t="n">
        <f aca="false">'Gaming · 8-Year'!J11*SURVIVAL_ASSUMPTIONS!C25</f>
        <v>974274.195665388</v>
      </c>
      <c r="L7" s="438" t="n">
        <f aca="false">'Gaming · 8-Year'!J11*(1+UNIVERSAL_DRIVERS!$C$8)*SURVIVAL_ASSUMPTIONS!C25</f>
        <v>1003502.42153535</v>
      </c>
      <c r="M7" s="438" t="n">
        <f aca="false">'Gaming · 8-Year'!J11*(1+UNIVERSAL_DRIVERS!$C$8)^2*SURVIVAL_ASSUMPTIONS!C25</f>
        <v>1033607.49418141</v>
      </c>
      <c r="N7" s="6"/>
    </row>
    <row r="8" customFormat="false" ht="15" hidden="false" customHeight="true" outlineLevel="0" collapsed="false">
      <c r="B8" s="113" t="s">
        <v>218</v>
      </c>
      <c r="C8" s="438" t="n">
        <v>0</v>
      </c>
      <c r="D8" s="438" t="n">
        <f aca="false">'Events · 8-Year'!C11*SURVIVAL_ASSUMPTIONS!D26</f>
        <v>565953.732</v>
      </c>
      <c r="E8" s="438" t="n">
        <f aca="false">'Events · 8-Year'!D11*SURVIVAL_ASSUMPTIONS!C26</f>
        <v>848930.598</v>
      </c>
      <c r="F8" s="438" t="n">
        <f aca="false">'Events · 8-Year'!E11*SURVIVAL_ASSUMPTIONS!C26</f>
        <v>943256.22</v>
      </c>
      <c r="G8" s="438" t="n">
        <f aca="false">'Events · 8-Year'!F11*SURVIVAL_ASSUMPTIONS!C26</f>
        <v>943256.22</v>
      </c>
      <c r="H8" s="438" t="n">
        <f aca="false">'Events · 8-Year'!G11*SURVIVAL_ASSUMPTIONS!C26</f>
        <v>990419.031</v>
      </c>
      <c r="I8" s="438" t="n">
        <f aca="false">'Events · 8-Year'!H11*SURVIVAL_ASSUMPTIONS!C26</f>
        <v>1039939.98255</v>
      </c>
      <c r="J8" s="438" t="n">
        <f aca="false">'Events · 8-Year'!I11*SURVIVAL_ASSUMPTIONS!C26</f>
        <v>1091936.9816775</v>
      </c>
      <c r="K8" s="438" t="n">
        <f aca="false">'Events · 8-Year'!J11*SURVIVAL_ASSUMPTIONS!C26</f>
        <v>1146533.83076138</v>
      </c>
      <c r="L8" s="438" t="n">
        <f aca="false">'Events · 8-Year'!J11*(1+UNIVERSAL_DRIVERS!$C$8)*SURVIVAL_ASSUMPTIONS!C26</f>
        <v>1180929.84568422</v>
      </c>
      <c r="M8" s="438" t="n">
        <f aca="false">'Events · 8-Year'!J11*(1+UNIVERSAL_DRIVERS!$C$8)^2*SURVIVAL_ASSUMPTIONS!C26</f>
        <v>1216357.74105474</v>
      </c>
      <c r="N8" s="6"/>
    </row>
    <row r="9" customFormat="false" ht="15" hidden="false" customHeight="true" outlineLevel="0" collapsed="false">
      <c r="B9" s="113" t="s">
        <v>145</v>
      </c>
      <c r="C9" s="438" t="n">
        <v>0</v>
      </c>
      <c r="D9" s="438" t="n">
        <f aca="false">'Academy · 8-Year'!C11*SURVIVAL_ASSUMPTIONS!D27</f>
        <v>774821.2032</v>
      </c>
      <c r="E9" s="438" t="n">
        <f aca="false">'Academy · 8-Year'!D11*SURVIVAL_ASSUMPTIONS!C27</f>
        <v>1197098.758944</v>
      </c>
      <c r="F9" s="438" t="n">
        <f aca="false">'Academy · 8-Year'!E11*SURVIVAL_ASSUMPTIONS!C27</f>
        <v>1370013.0241248</v>
      </c>
      <c r="G9" s="438" t="n">
        <f aca="false">'Academy · 8-Year'!F11*SURVIVAL_ASSUMPTIONS!C27</f>
        <v>1411113.41484854</v>
      </c>
      <c r="H9" s="438" t="n">
        <f aca="false">'Academy · 8-Year'!G11*SURVIVAL_ASSUMPTIONS!C27</f>
        <v>1453446.817294</v>
      </c>
      <c r="I9" s="438" t="n">
        <f aca="false">'Academy · 8-Year'!H11*SURVIVAL_ASSUMPTIONS!C27</f>
        <v>1571902.73290346</v>
      </c>
      <c r="J9" s="438" t="n">
        <f aca="false">'Academy · 8-Year'!I11*SURVIVAL_ASSUMPTIONS!C27</f>
        <v>1619059.81489057</v>
      </c>
      <c r="K9" s="438" t="n">
        <f aca="false">'Academy · 8-Year'!J11*SURVIVAL_ASSUMPTIONS!C27</f>
        <v>1667631.60933728</v>
      </c>
      <c r="L9" s="438" t="n">
        <f aca="false">'Academy · 8-Year'!J11*(1+UNIVERSAL_DRIVERS!$C$8)*SURVIVAL_ASSUMPTIONS!C27</f>
        <v>1717660.5576174</v>
      </c>
      <c r="M9" s="438" t="n">
        <f aca="false">'Academy · 8-Year'!J11*(1+UNIVERSAL_DRIVERS!$C$8)^2*SURVIVAL_ASSUMPTIONS!C27</f>
        <v>1769190.37434592</v>
      </c>
      <c r="N9" s="6"/>
    </row>
    <row r="10" customFormat="false" ht="15" hidden="false" customHeight="true" outlineLevel="0" collapsed="false">
      <c r="B10" s="113" t="s">
        <v>219</v>
      </c>
      <c r="C10" s="438" t="n">
        <v>0</v>
      </c>
      <c r="D10" s="438" t="n">
        <f aca="false">'Esports · 8-Year'!C11*SURVIVAL_ASSUMPTIONS!D28</f>
        <v>325463.58288</v>
      </c>
      <c r="E10" s="438" t="n">
        <f aca="false">'Esports · 8-Year'!D11*SURVIVAL_ASSUMPTIONS!C28</f>
        <v>502841.2355496</v>
      </c>
      <c r="F10" s="438" t="n">
        <f aca="false">'Esports · 8-Year'!E11*SURVIVAL_ASSUMPTIONS!C28</f>
        <v>575473.85846232</v>
      </c>
      <c r="G10" s="438" t="n">
        <f aca="false">'Esports · 8-Year'!F11*SURVIVAL_ASSUMPTIONS!C28</f>
        <v>592738.07421619</v>
      </c>
      <c r="H10" s="438" t="n">
        <f aca="false">'Esports · 8-Year'!G11*SURVIVAL_ASSUMPTIONS!C28</f>
        <v>610520.216442675</v>
      </c>
      <c r="I10" s="438" t="n">
        <f aca="false">'Esports · 8-Year'!H11*SURVIVAL_ASSUMPTIONS!C28</f>
        <v>660277.614082753</v>
      </c>
      <c r="J10" s="438" t="n">
        <f aca="false">'Esports · 8-Year'!I11*SURVIVAL_ASSUMPTIONS!C28</f>
        <v>680085.942505236</v>
      </c>
      <c r="K10" s="438" t="n">
        <f aca="false">'Esports · 8-Year'!J11*SURVIVAL_ASSUMPTIONS!C28</f>
        <v>700488.520780393</v>
      </c>
      <c r="L10" s="438" t="n">
        <f aca="false">'Esports · 8-Year'!J11*(1+UNIVERSAL_DRIVERS!$C$8)*SURVIVAL_ASSUMPTIONS!C28</f>
        <v>721503.176403805</v>
      </c>
      <c r="M10" s="438" t="n">
        <f aca="false">'Esports · 8-Year'!J11*(1+UNIVERSAL_DRIVERS!$C$8)^2*SURVIVAL_ASSUMPTIONS!C28</f>
        <v>743148.271695919</v>
      </c>
      <c r="N10" s="6"/>
    </row>
    <row r="11" customFormat="false" ht="15" hidden="false" customHeight="true" outlineLevel="0" collapsed="false">
      <c r="B11" s="113" t="s">
        <v>151</v>
      </c>
      <c r="C11" s="438" t="n">
        <v>0</v>
      </c>
      <c r="D11" s="438" t="n">
        <f aca="false">'Museum · 8-Year'!C11*SURVIVAL_ASSUMPTIONS!D29</f>
        <v>229379.25852</v>
      </c>
      <c r="E11" s="438" t="n">
        <f aca="false">'Museum · 8-Year'!D11*SURVIVAL_ASSUMPTIONS!C29</f>
        <v>354390.9544134</v>
      </c>
      <c r="F11" s="438" t="n">
        <f aca="false">'Museum · 8-Year'!E11*SURVIVAL_ASSUMPTIONS!C29</f>
        <v>405580.75893978</v>
      </c>
      <c r="G11" s="438" t="n">
        <f aca="false">'Museum · 8-Year'!F11*SURVIVAL_ASSUMPTIONS!C29</f>
        <v>417748.181707974</v>
      </c>
      <c r="H11" s="438" t="n">
        <f aca="false">'Museum · 8-Year'!G11*SURVIVAL_ASSUMPTIONS!C29</f>
        <v>430280.627159213</v>
      </c>
      <c r="I11" s="438" t="n">
        <f aca="false">'Museum · 8-Year'!H11*SURVIVAL_ASSUMPTIONS!C29</f>
        <v>465348.498272689</v>
      </c>
      <c r="J11" s="438" t="n">
        <f aca="false">'Museum · 8-Year'!I11*SURVIVAL_ASSUMPTIONS!C29</f>
        <v>479308.953220869</v>
      </c>
      <c r="K11" s="438" t="n">
        <f aca="false">'Museum · 8-Year'!J11*SURVIVAL_ASSUMPTIONS!C29</f>
        <v>493688.221817495</v>
      </c>
      <c r="L11" s="438" t="n">
        <f aca="false">'Museum · 8-Year'!J11*(1+UNIVERSAL_DRIVERS!$C$8)*SURVIVAL_ASSUMPTIONS!C29</f>
        <v>508498.86847202</v>
      </c>
      <c r="M11" s="438" t="n">
        <f aca="false">'Museum · 8-Year'!J11*(1+UNIVERSAL_DRIVERS!$C$8)^2*SURVIVAL_ASSUMPTIONS!C29</f>
        <v>523753.834526181</v>
      </c>
      <c r="N11" s="6"/>
    </row>
    <row r="12" customFormat="false" ht="15" hidden="false" customHeight="true" outlineLevel="0" collapsed="false">
      <c r="B12" s="113" t="s">
        <v>157</v>
      </c>
      <c r="C12" s="438" t="n">
        <v>0</v>
      </c>
      <c r="D12" s="438" t="n">
        <f aca="false">'Subleasing · 8-Year'!C11*SURVIVAL_ASSUMPTIONS!D30</f>
        <v>150613.2</v>
      </c>
      <c r="E12" s="438" t="n">
        <f aca="false">'Subleasing · 8-Year'!D11*SURVIVAL_ASSUMPTIONS!C30</f>
        <v>232697.394</v>
      </c>
      <c r="F12" s="438" t="n">
        <f aca="false">'Subleasing · 8-Year'!E11*SURVIVAL_ASSUMPTIONS!C30</f>
        <v>266309.2398</v>
      </c>
      <c r="G12" s="438" t="n">
        <f aca="false">'Subleasing · 8-Year'!F11*SURVIVAL_ASSUMPTIONS!C30</f>
        <v>274298.516994</v>
      </c>
      <c r="H12" s="438" t="n">
        <f aca="false">'Subleasing · 8-Year'!G11*SURVIVAL_ASSUMPTIONS!C30</f>
        <v>282527.47250382</v>
      </c>
      <c r="I12" s="438" t="n">
        <f aca="false">'Subleasing · 8-Year'!H11*SURVIVAL_ASSUMPTIONS!C30</f>
        <v>305553.461512881</v>
      </c>
      <c r="J12" s="438" t="n">
        <f aca="false">'Subleasing · 8-Year'!I11*SURVIVAL_ASSUMPTIONS!C30</f>
        <v>314720.065358268</v>
      </c>
      <c r="K12" s="438" t="n">
        <f aca="false">'Subleasing · 8-Year'!J11*SURVIVAL_ASSUMPTIONS!C30</f>
        <v>324161.667319016</v>
      </c>
      <c r="L12" s="438" t="n">
        <f aca="false">'Subleasing · 8-Year'!J11*(1+UNIVERSAL_DRIVERS!$C$8)*SURVIVAL_ASSUMPTIONS!C30</f>
        <v>333886.517338586</v>
      </c>
      <c r="M12" s="438" t="n">
        <f aca="false">'Subleasing · 8-Year'!J11*(1+UNIVERSAL_DRIVERS!$C$8)^2*SURVIVAL_ASSUMPTIONS!C30</f>
        <v>343903.112858744</v>
      </c>
      <c r="N12" s="6"/>
    </row>
    <row r="13" customFormat="false" ht="15" hidden="false" customHeight="true" outlineLevel="0" collapsed="false">
      <c r="B13" s="113" t="s">
        <v>143</v>
      </c>
      <c r="C13" s="438" t="n">
        <v>0</v>
      </c>
      <c r="D13" s="438" t="n">
        <f aca="false">'F&amp;B · 8-Year'!C11*SURVIVAL_ASSUMPTIONS!D31</f>
        <v>299984.285563776</v>
      </c>
      <c r="E13" s="438" t="n">
        <f aca="false">'F&amp;B · 8-Year'!D11*SURVIVAL_ASSUMPTIONS!C31</f>
        <v>449976.428345664</v>
      </c>
      <c r="F13" s="438" t="n">
        <f aca="false">'F&amp;B · 8-Year'!E11*SURVIVAL_ASSUMPTIONS!C31</f>
        <v>499973.80927296</v>
      </c>
      <c r="G13" s="438" t="n">
        <f aca="false">'F&amp;B · 8-Year'!F11*SURVIVAL_ASSUMPTIONS!C31</f>
        <v>499973.80927296</v>
      </c>
      <c r="H13" s="438" t="n">
        <f aca="false">'F&amp;B · 8-Year'!G11*SURVIVAL_ASSUMPTIONS!C31</f>
        <v>524972.499736608</v>
      </c>
      <c r="I13" s="438" t="n">
        <f aca="false">'F&amp;B · 8-Year'!H11*SURVIVAL_ASSUMPTIONS!C31</f>
        <v>551221.124723439</v>
      </c>
      <c r="J13" s="438" t="n">
        <f aca="false">'F&amp;B · 8-Year'!I11*SURVIVAL_ASSUMPTIONS!C31</f>
        <v>578782.18095961</v>
      </c>
      <c r="K13" s="438" t="n">
        <f aca="false">'F&amp;B · 8-Year'!J11*SURVIVAL_ASSUMPTIONS!C31</f>
        <v>607721.290007591</v>
      </c>
      <c r="L13" s="438" t="n">
        <f aca="false">'F&amp;B · 8-Year'!J11*(1+UNIVERSAL_DRIVERS!$C$8)*SURVIVAL_ASSUMPTIONS!C31</f>
        <v>625952.928707819</v>
      </c>
      <c r="M13" s="438" t="n">
        <f aca="false">'F&amp;B · 8-Year'!J11*(1+UNIVERSAL_DRIVERS!$C$8)^2*SURVIVAL_ASSUMPTIONS!C31</f>
        <v>644731.516569053</v>
      </c>
      <c r="N13" s="6"/>
    </row>
    <row r="14" customFormat="false" ht="15" hidden="false" customHeight="true" outlineLevel="0" collapsed="false">
      <c r="B14" s="113" t="s">
        <v>153</v>
      </c>
      <c r="C14" s="438" t="n">
        <v>0</v>
      </c>
      <c r="D14" s="438" t="n">
        <f aca="false">'Sponsorships · 8-Year'!C11*SURVIVAL_ASSUMPTIONS!D32</f>
        <v>129150</v>
      </c>
      <c r="E14" s="438" t="n">
        <f aca="false">'Sponsorships · 8-Year'!D11*SURVIVAL_ASSUMPTIONS!C32</f>
        <v>199536.75</v>
      </c>
      <c r="F14" s="438" t="n">
        <f aca="false">'Sponsorships · 8-Year'!E11*SURVIVAL_ASSUMPTIONS!C32</f>
        <v>228358.725</v>
      </c>
      <c r="G14" s="438" t="n">
        <f aca="false">'Sponsorships · 8-Year'!F11*SURVIVAL_ASSUMPTIONS!C32</f>
        <v>235209.48675</v>
      </c>
      <c r="H14" s="438" t="n">
        <f aca="false">'Sponsorships · 8-Year'!G11*SURVIVAL_ASSUMPTIONS!C32</f>
        <v>242265.7713525</v>
      </c>
      <c r="I14" s="438" t="n">
        <f aca="false">'Sponsorships · 8-Year'!H11*SURVIVAL_ASSUMPTIONS!C32</f>
        <v>262010.431717729</v>
      </c>
      <c r="J14" s="438" t="n">
        <f aca="false">'Sponsorships · 8-Year'!I11*SURVIVAL_ASSUMPTIONS!C32</f>
        <v>269870.744669261</v>
      </c>
      <c r="K14" s="438" t="n">
        <f aca="false">'Sponsorships · 8-Year'!J11*SURVIVAL_ASSUMPTIONS!C32</f>
        <v>277966.867009338</v>
      </c>
      <c r="L14" s="438" t="n">
        <f aca="false">'Sponsorships · 8-Year'!J11*(1+UNIVERSAL_DRIVERS!$C$8)*SURVIVAL_ASSUMPTIONS!C32</f>
        <v>286305.873019619</v>
      </c>
      <c r="M14" s="438" t="n">
        <f aca="false">'Sponsorships · 8-Year'!J11*(1+UNIVERSAL_DRIVERS!$C$8)^2*SURVIVAL_ASSUMPTIONS!C32</f>
        <v>294895.049210207</v>
      </c>
      <c r="N14" s="6"/>
    </row>
    <row r="15" customFormat="false" ht="15" hidden="false" customHeight="true" outlineLevel="0" collapsed="false">
      <c r="B15" s="113" t="s">
        <v>155</v>
      </c>
      <c r="C15" s="438" t="n">
        <v>0</v>
      </c>
      <c r="D15" s="438" t="n">
        <f aca="false">'Borderless · 8-Year'!C11*SURVIVAL_ASSUMPTIONS!D33</f>
        <v>135833.4</v>
      </c>
      <c r="E15" s="438" t="n">
        <f aca="false">'Borderless · 8-Year'!D11*SURVIVAL_ASSUMPTIONS!C33</f>
        <v>209862.603</v>
      </c>
      <c r="F15" s="438" t="n">
        <f aca="false">'Borderless · 8-Year'!E11*SURVIVAL_ASSUMPTIONS!C33</f>
        <v>240176.0901</v>
      </c>
      <c r="G15" s="438" t="n">
        <f aca="false">'Borderless · 8-Year'!F11*SURVIVAL_ASSUMPTIONS!C33</f>
        <v>247381.372803</v>
      </c>
      <c r="H15" s="438" t="n">
        <f aca="false">'Borderless · 8-Year'!G11*SURVIVAL_ASSUMPTIONS!C33</f>
        <v>254802.81398709</v>
      </c>
      <c r="I15" s="438" t="n">
        <f aca="false">'Borderless · 8-Year'!H11*SURVIVAL_ASSUMPTIONS!C33</f>
        <v>275569.243327038</v>
      </c>
      <c r="J15" s="438" t="n">
        <f aca="false">'Borderless · 8-Year'!I11*SURVIVAL_ASSUMPTIONS!C33</f>
        <v>283836.320626849</v>
      </c>
      <c r="K15" s="438" t="n">
        <f aca="false">'Borderless · 8-Year'!J11*SURVIVAL_ASSUMPTIONS!C33</f>
        <v>292351.410245654</v>
      </c>
      <c r="L15" s="438" t="n">
        <f aca="false">'Borderless · 8-Year'!J11*(1+UNIVERSAL_DRIVERS!$C$8)*SURVIVAL_ASSUMPTIONS!C33</f>
        <v>301121.952553024</v>
      </c>
      <c r="M15" s="438" t="n">
        <f aca="false">'Borderless · 8-Year'!J11*(1+UNIVERSAL_DRIVERS!$C$8)^2*SURVIVAL_ASSUMPTIONS!C33</f>
        <v>310155.611129615</v>
      </c>
      <c r="N15" s="6"/>
    </row>
    <row r="16" customFormat="false" ht="24" hidden="false" customHeight="true" outlineLevel="0" collapsed="false">
      <c r="B16" s="439" t="s">
        <v>1382</v>
      </c>
      <c r="C16" s="440" t="n">
        <f aca="false">SUM(C7:C15)</f>
        <v>0</v>
      </c>
      <c r="D16" s="440" t="n">
        <f aca="false">SUM(D7:D15)</f>
        <v>3097305.48288748</v>
      </c>
      <c r="E16" s="440" t="n">
        <f aca="false">SUM(E7:E15)</f>
        <v>4700009.5727388</v>
      </c>
      <c r="F16" s="440" t="n">
        <f aca="false">SUM(F7:F15)</f>
        <v>5293157.61622693</v>
      </c>
      <c r="G16" s="440" t="n">
        <f aca="false">SUM(G7:G15)</f>
        <v>5408655.44383555</v>
      </c>
      <c r="H16" s="440" t="n">
        <f aca="false">SUM(H7:H15)</f>
        <v>5640306.93064909</v>
      </c>
      <c r="I16" s="440" t="n">
        <f aca="false">SUM(I7:I15)</f>
        <v>6033472.7444586</v>
      </c>
      <c r="J16" s="440" t="n">
        <f aca="false">SUM(J7:J15)</f>
        <v>6263498.2812532</v>
      </c>
      <c r="K16" s="440" t="n">
        <f aca="false">SUM(K7:K15)</f>
        <v>6484817.61294353</v>
      </c>
      <c r="L16" s="440" t="n">
        <f aca="false">SUM(L7:L15)</f>
        <v>6679362.14133184</v>
      </c>
      <c r="M16" s="440" t="n">
        <f aca="false">SUM(M7:M15)</f>
        <v>6879743.00557179</v>
      </c>
      <c r="N16" s="6"/>
    </row>
    <row r="17" customFormat="false" ht="15" hidden="false" customHeight="true" outlineLevel="0" collapsed="false">
      <c r="B17" s="6"/>
      <c r="N17" s="6"/>
    </row>
    <row r="18" customFormat="false" ht="36" hidden="false" customHeight="true" outlineLevel="0" collapsed="false">
      <c r="B18" s="332" t="s">
        <v>1383</v>
      </c>
      <c r="C18" s="332"/>
      <c r="D18" s="332"/>
      <c r="E18" s="332"/>
      <c r="F18" s="332"/>
      <c r="G18" s="332"/>
      <c r="H18" s="332"/>
      <c r="I18" s="332"/>
      <c r="J18" s="332"/>
      <c r="K18" s="332"/>
      <c r="L18" s="332"/>
      <c r="M18" s="332"/>
      <c r="N18" s="6"/>
    </row>
    <row r="19" customFormat="false" ht="15" hidden="false" customHeight="true" outlineLevel="0" collapsed="false">
      <c r="B19" s="113" t="s">
        <v>217</v>
      </c>
      <c r="C19" s="438" t="n">
        <v>0</v>
      </c>
      <c r="D19" s="438" t="n">
        <f aca="false">'Gaming · 8-Year'!C15*SURVIVAL_ASSUMPTIONS!C16+IFERROR('Gaming · 8-Year'!C16/'Gaming · 8-Year'!C11*D7,0)</f>
        <v>375419.085386738</v>
      </c>
      <c r="E19" s="438" t="n">
        <f aca="false">'Gaming · 8-Year'!D15*SURVIVAL_ASSUMPTIONS!C16+IFERROR('Gaming · 8-Year'!D16/'Gaming · 8-Year'!D11*E7,0)</f>
        <v>423157.774458329</v>
      </c>
      <c r="F19" s="438" t="n">
        <f aca="false">'Gaming · 8-Year'!E15*SURVIVAL_ASSUMPTIONS!C16+IFERROR('Gaming · 8-Year'!E16/'Gaming · 8-Year'!E11*F7,0)</f>
        <v>442683.489511223</v>
      </c>
      <c r="G19" s="438" t="n">
        <f aca="false">'Gaming · 8-Year'!F15*SURVIVAL_ASSUMPTIONS!C16+IFERROR('Gaming · 8-Year'!F16/'Gaming · 8-Year'!F11*G7,0)</f>
        <v>455963.994196559</v>
      </c>
      <c r="H19" s="438" t="n">
        <f aca="false">'Gaming · 8-Year'!G15*SURVIVAL_ASSUMPTIONS!C16+IFERROR('Gaming · 8-Year'!G16/'Gaming · 8-Year'!G11*H7,0)</f>
        <v>476889.902634386</v>
      </c>
      <c r="I19" s="438" t="n">
        <f aca="false">'Gaming · 8-Year'!H15*SURVIVAL_ASSUMPTIONS!C16+IFERROR('Gaming · 8-Year'!H16/'Gaming · 8-Year'!H11*I7,0)</f>
        <v>495675.238675589</v>
      </c>
      <c r="J19" s="438" t="n">
        <f aca="false">'Gaming · 8-Year'!I15*SURVIVAL_ASSUMPTIONS!C16+IFERROR('Gaming · 8-Year'!I16/'Gaming · 8-Year'!I11*J7,0)</f>
        <v>513620.827923215</v>
      </c>
      <c r="K19" s="438" t="n">
        <f aca="false">'Gaming · 8-Year'!J15*SURVIVAL_ASSUMPTIONS!C16+IFERROR('Gaming · 8-Year'!J16/'Gaming · 8-Year'!J11*K7,0)</f>
        <v>529029.452760912</v>
      </c>
      <c r="L19" s="438" t="n">
        <f aca="false">'Gaming · 8-Year'!J15*(1+UNIVERSAL_DRIVERS!$C$8)*SURVIVAL_ASSUMPTIONS!C16+IFERROR('Gaming · 8-Year'!J16/'Gaming · 8-Year'!J11*(1+UNIVERSAL_DRIVERS!$C$8)*L7,0)</f>
        <v>550283.659032679</v>
      </c>
      <c r="M19" s="438" t="n">
        <f aca="false">'Gaming · 8-Year'!J15*(1+UNIVERSAL_DRIVERS!$C$8)^2*SURVIVAL_ASSUMPTIONS!C16+IFERROR('Gaming · 8-Year'!J16/'Gaming · 8-Year'!J11*(1+UNIVERSAL_DRIVERS!$C$8)^2*M7,0)</f>
        <v>572503.335844355</v>
      </c>
      <c r="N19" s="6"/>
    </row>
    <row r="20" customFormat="false" ht="15" hidden="false" customHeight="true" outlineLevel="0" collapsed="false">
      <c r="B20" s="113" t="s">
        <v>218</v>
      </c>
      <c r="C20" s="438" t="n">
        <v>0</v>
      </c>
      <c r="D20" s="438" t="n">
        <f aca="false">'Events · 8-Year'!C15*SURVIVAL_ASSUMPTIONS!C16+IFERROR('Events · 8-Year'!C16/'Events · 8-Year'!C11*D8,0)</f>
        <v>243503.4176</v>
      </c>
      <c r="E20" s="438" t="n">
        <f aca="false">'Events · 8-Year'!D15*SURVIVAL_ASSUMPTIONS!C16+IFERROR('Events · 8-Year'!D16/'Events · 8-Year'!D11*E8,0)</f>
        <v>311755.1264</v>
      </c>
      <c r="F20" s="438" t="n">
        <f aca="false">'Events · 8-Year'!E15*SURVIVAL_ASSUMPTIONS!C16+IFERROR('Events · 8-Year'!E16/'Events · 8-Year'!E11*F8,0)</f>
        <v>334505.696</v>
      </c>
      <c r="G20" s="438" t="n">
        <f aca="false">'Events · 8-Year'!F15*SURVIVAL_ASSUMPTIONS!C16+IFERROR('Events · 8-Year'!F16/'Events · 8-Year'!F11*G8,0)</f>
        <v>334505.696</v>
      </c>
      <c r="H20" s="438" t="n">
        <f aca="false">'Events · 8-Year'!G15*SURVIVAL_ASSUMPTIONS!C16+IFERROR('Events · 8-Year'!G16/'Events · 8-Year'!G11*H8,0)</f>
        <v>345880.9808</v>
      </c>
      <c r="I20" s="438" t="n">
        <f aca="false">'Events · 8-Year'!H15*SURVIVAL_ASSUMPTIONS!C16+IFERROR('Events · 8-Year'!H16/'Events · 8-Year'!H11*I8,0)</f>
        <v>357825.02984</v>
      </c>
      <c r="J20" s="438" t="n">
        <f aca="false">'Events · 8-Year'!I15*SURVIVAL_ASSUMPTIONS!C16+IFERROR('Events · 8-Year'!I16/'Events · 8-Year'!I11*J8,0)</f>
        <v>370366.281332</v>
      </c>
      <c r="K20" s="438" t="n">
        <f aca="false">'Events · 8-Year'!J15*SURVIVAL_ASSUMPTIONS!C16+IFERROR('Events · 8-Year'!J16/'Events · 8-Year'!J11*K8,0)</f>
        <v>383534.5953986</v>
      </c>
      <c r="L20" s="438" t="n">
        <f aca="false">'Events · 8-Year'!J15*(1+UNIVERSAL_DRIVERS!$C$8)*SURVIVAL_ASSUMPTIONS!C16+IFERROR('Events · 8-Year'!J16/'Events · 8-Year'!J11*(1+UNIVERSAL_DRIVERS!$C$8)*L8,0)</f>
        <v>403585.552258375</v>
      </c>
      <c r="M20" s="438" t="n">
        <f aca="false">'Events · 8-Year'!J15*(1+UNIVERSAL_DRIVERS!$C$8)^2*SURVIVAL_ASSUMPTIONS!C16+IFERROR('Events · 8-Year'!J16/'Events · 8-Year'!J11*(1+UNIVERSAL_DRIVERS!$C$8)^2*M8,0)</f>
        <v>424758.42339091</v>
      </c>
      <c r="N20" s="6"/>
    </row>
    <row r="21" customFormat="false" ht="15" hidden="false" customHeight="true" outlineLevel="0" collapsed="false">
      <c r="B21" s="113" t="s">
        <v>145</v>
      </c>
      <c r="C21" s="438" t="n">
        <v>0</v>
      </c>
      <c r="D21" s="438" t="n">
        <f aca="false">'Academy · 8-Year'!C15*SURVIVAL_ASSUMPTIONS!C16+IFERROR('Academy · 8-Year'!C16/'Academy · 8-Year'!C11*D9,0)</f>
        <v>444951.02272</v>
      </c>
      <c r="E21" s="438" t="n">
        <f aca="false">'Academy · 8-Year'!D15*SURVIVAL_ASSUMPTIONS!C16+IFERROR('Academy · 8-Year'!D16/'Academy · 8-Year'!D11*E9,0)</f>
        <v>491414.5801024</v>
      </c>
      <c r="F21" s="438" t="n">
        <f aca="false">'Academy · 8-Year'!E15*SURVIVAL_ASSUMPTIONS!C16+IFERROR('Academy · 8-Year'!E16/'Academy · 8-Year'!E11*F9,0)</f>
        <v>517526.51000608</v>
      </c>
      <c r="G21" s="438" t="n">
        <f aca="false">'Academy · 8-Year'!F15*SURVIVAL_ASSUMPTIONS!C16+IFERROR('Academy · 8-Year'!F16/'Academy · 8-Year'!F11*G9,0)</f>
        <v>533052.305306262</v>
      </c>
      <c r="H21" s="438" t="n">
        <f aca="false">'Academy · 8-Year'!G15*SURVIVAL_ASSUMPTIONS!C16+IFERROR('Academy · 8-Year'!G16/'Academy · 8-Year'!G11*H9,0)</f>
        <v>549043.87446545</v>
      </c>
      <c r="I21" s="438" t="n">
        <f aca="false">'Academy · 8-Year'!H15*SURVIVAL_ASSUMPTIONS!C16+IFERROR('Academy · 8-Year'!H16/'Academy · 8-Year'!H11*I9,0)</f>
        <v>571727.06641527</v>
      </c>
      <c r="J21" s="438" t="n">
        <f aca="false">'Academy · 8-Year'!I15*SURVIVAL_ASSUMPTIONS!C16+IFERROR('Academy · 8-Year'!I16/'Academy · 8-Year'!I11*J9,0)</f>
        <v>588878.878407728</v>
      </c>
      <c r="K21" s="438" t="n">
        <f aca="false">'Academy · 8-Year'!J15*SURVIVAL_ASSUMPTIONS!C16+IFERROR('Academy · 8-Year'!J16/'Academy · 8-Year'!J11*K9,0)</f>
        <v>606545.24475996</v>
      </c>
      <c r="L21" s="438" t="n">
        <f aca="false">'Academy · 8-Year'!J15*(1+UNIVERSAL_DRIVERS!$C$8)*SURVIVAL_ASSUMPTIONS!C16+IFERROR('Academy · 8-Year'!J16/'Academy · 8-Year'!J11*(1+UNIVERSAL_DRIVERS!$C$8)*L9,0)</f>
        <v>629017.969221436</v>
      </c>
      <c r="M21" s="438" t="n">
        <f aca="false">'Academy · 8-Year'!J15*(1+UNIVERSAL_DRIVERS!$C$8)^2*SURVIVAL_ASSUMPTIONS!C16+IFERROR('Academy · 8-Year'!J16/'Academy · 8-Year'!J11*(1+UNIVERSAL_DRIVERS!$C$8)^2*M9,0)</f>
        <v>652425.306174283</v>
      </c>
      <c r="N21" s="6"/>
    </row>
    <row r="22" customFormat="false" ht="15" hidden="false" customHeight="true" outlineLevel="0" collapsed="false">
      <c r="B22" s="113" t="s">
        <v>219</v>
      </c>
      <c r="C22" s="438" t="n">
        <v>0</v>
      </c>
      <c r="D22" s="438" t="n">
        <f aca="false">'Esports · 8-Year'!C15*SURVIVAL_ASSUMPTIONS!C16+IFERROR('Esports · 8-Year'!C16/'Esports · 8-Year'!C11*D10,0)</f>
        <v>157955.802176</v>
      </c>
      <c r="E22" s="438" t="n">
        <f aca="false">'Esports · 8-Year'!D15*SURVIVAL_ASSUMPTIONS!C16+IFERROR('Esports · 8-Year'!D16/'Esports · 8-Year'!D11*E10,0)</f>
        <v>189117.41756192</v>
      </c>
      <c r="F22" s="438" t="n">
        <f aca="false">'Esports · 8-Year'!E15*SURVIVAL_ASSUMPTIONS!C16+IFERROR('Esports · 8-Year'!E16/'Esports · 8-Year'!E11*F10,0)</f>
        <v>203862.816608864</v>
      </c>
      <c r="G22" s="438" t="n">
        <f aca="false">'Esports · 8-Year'!F15*SURVIVAL_ASSUMPTIONS!C16+IFERROR('Esports · 8-Year'!F16/'Esports · 8-Year'!F11*G10,0)</f>
        <v>209978.70110713</v>
      </c>
      <c r="H22" s="438" t="n">
        <f aca="false">'Esports · 8-Year'!G15*SURVIVAL_ASSUMPTIONS!C16+IFERROR('Esports · 8-Year'!G16/'Esports · 8-Year'!G11*H10,0)</f>
        <v>216278.062140344</v>
      </c>
      <c r="I22" s="438" t="n">
        <f aca="false">'Esports · 8-Year'!H15*SURVIVAL_ASSUMPTIONS!C16+IFERROR('Esports · 8-Year'!H16/'Esports · 8-Year'!H11*I10,0)</f>
        <v>227722.946211636</v>
      </c>
      <c r="J22" s="438" t="n">
        <f aca="false">'Esports · 8-Year'!I15*SURVIVAL_ASSUMPTIONS!C16+IFERROR('Esports · 8-Year'!I16/'Esports · 8-Year'!I11*J10,0)</f>
        <v>234554.634597985</v>
      </c>
      <c r="K22" s="438" t="n">
        <f aca="false">'Esports · 8-Year'!J15*SURVIVAL_ASSUMPTIONS!C16+IFERROR('Esports · 8-Year'!J16/'Esports · 8-Year'!J11*K10,0)</f>
        <v>241591.273635925</v>
      </c>
      <c r="L22" s="438" t="n">
        <f aca="false">'Esports · 8-Year'!J15*(1+UNIVERSAL_DRIVERS!$C$8)*SURVIVAL_ASSUMPTIONS!C16+IFERROR('Esports · 8-Year'!J16/'Esports · 8-Year'!J11*(1+UNIVERSAL_DRIVERS!$C$8)*L10,0)</f>
        <v>252251.184767683</v>
      </c>
      <c r="M22" s="438" t="n">
        <f aca="false">'Esports · 8-Year'!J15*(1+UNIVERSAL_DRIVERS!$C$8)^2*SURVIVAL_ASSUMPTIONS!C16+IFERROR('Esports · 8-Year'!J16/'Esports · 8-Year'!J11*(1+UNIVERSAL_DRIVERS!$C$8)^2*M10,0)</f>
        <v>263438.694564386</v>
      </c>
      <c r="N22" s="6"/>
    </row>
    <row r="23" customFormat="false" ht="15" hidden="false" customHeight="true" outlineLevel="0" collapsed="false">
      <c r="B23" s="113" t="s">
        <v>151</v>
      </c>
      <c r="C23" s="438" t="n">
        <v>0</v>
      </c>
      <c r="D23" s="438" t="n">
        <f aca="false">'Museum · 8-Year'!C15*SURVIVAL_ASSUMPTIONS!C16+IFERROR('Museum · 8-Year'!C16/'Museum · 8-Year'!C11*D11,0)</f>
        <v>210905.54504</v>
      </c>
      <c r="E23" s="438" t="n">
        <f aca="false">'Museum · 8-Year'!D15*SURVIVAL_ASSUMPTIONS!C16+IFERROR('Museum · 8-Year'!D16/'Museum · 8-Year'!D11*E11,0)</f>
        <v>234591.0670868</v>
      </c>
      <c r="F23" s="438" t="n">
        <f aca="false">'Museum · 8-Year'!E15*SURVIVAL_ASSUMPTIONS!C16+IFERROR('Museum · 8-Year'!E16/'Museum · 8-Year'!E11*F11,0)</f>
        <v>247588.50122156</v>
      </c>
      <c r="G23" s="438" t="n">
        <f aca="false">'Museum · 8-Year'!F15*SURVIVAL_ASSUMPTIONS!C16+IFERROR('Museum · 8-Year'!F16/'Museum · 8-Year'!F11*G11,0)</f>
        <v>255016.156258207</v>
      </c>
      <c r="H23" s="438" t="n">
        <f aca="false">'Museum · 8-Year'!G15*SURVIVAL_ASSUMPTIONS!C16+IFERROR('Museum · 8-Year'!G16/'Museum · 8-Year'!G11*H11,0)</f>
        <v>262666.640945953</v>
      </c>
      <c r="I23" s="438" t="n">
        <f aca="false">'Museum · 8-Year'!H15*SURVIVAL_ASSUMPTIONS!C16+IFERROR('Museum · 8-Year'!H16/'Museum · 8-Year'!H11*I11,0)</f>
        <v>273802.80388475</v>
      </c>
      <c r="J23" s="438" t="n">
        <f aca="false">'Museum · 8-Year'!I15*SURVIVAL_ASSUMPTIONS!C16+IFERROR('Museum · 8-Year'!I16/'Museum · 8-Year'!I11*J11,0)</f>
        <v>282016.888001293</v>
      </c>
      <c r="K23" s="438" t="n">
        <f aca="false">'Museum · 8-Year'!J15*SURVIVAL_ASSUMPTIONS!C16+IFERROR('Museum · 8-Year'!J16/'Museum · 8-Year'!J11*K11,0)</f>
        <v>290477.394641332</v>
      </c>
      <c r="L23" s="438" t="n">
        <f aca="false">'Museum · 8-Year'!J15*(1+UNIVERSAL_DRIVERS!$C$8)*SURVIVAL_ASSUMPTIONS!C16+IFERROR('Museum · 8-Year'!J16/'Museum · 8-Year'!J11*(1+UNIVERSAL_DRIVERS!$C$8)*L11,0)</f>
        <v>301433.318222332</v>
      </c>
      <c r="M23" s="438" t="n">
        <f aca="false">'Museum · 8-Year'!J15*(1+UNIVERSAL_DRIVERS!$C$8)^2*SURVIVAL_ASSUMPTIONS!C16+IFERROR('Museum · 8-Year'!J16/'Museum · 8-Year'!J11*(1+UNIVERSAL_DRIVERS!$C$8)^2*M11,0)</f>
        <v>312854.433056836</v>
      </c>
      <c r="N23" s="6"/>
    </row>
    <row r="24" customFormat="false" ht="15" hidden="false" customHeight="true" outlineLevel="0" collapsed="false">
      <c r="B24" s="113" t="s">
        <v>157</v>
      </c>
      <c r="C24" s="438" t="n">
        <v>0</v>
      </c>
      <c r="D24" s="438" t="n">
        <f aca="false">'Subleasing · 8-Year'!C15*SURVIVAL_ASSUMPTIONS!C16+IFERROR('Subleasing · 8-Year'!C16/'Subleasing · 8-Year'!C11*D12,0)</f>
        <v>24512.264</v>
      </c>
      <c r="E24" s="438" t="n">
        <f aca="false">'Subleasing · 8-Year'!D15*SURVIVAL_ASSUMPTIONS!C16+IFERROR('Subleasing · 8-Year'!D16/'Subleasing · 8-Year'!D11*E12,0)</f>
        <v>26798.94788</v>
      </c>
      <c r="F24" s="438" t="n">
        <f aca="false">'Subleasing · 8-Year'!E15*SURVIVAL_ASSUMPTIONS!C16+IFERROR('Subleasing · 8-Year'!E16/'Subleasing · 8-Year'!E11*F12,0)</f>
        <v>28135.534796</v>
      </c>
      <c r="G24" s="438" t="n">
        <f aca="false">'Subleasing · 8-Year'!F15*SURVIVAL_ASSUMPTIONS!C16+IFERROR('Subleasing · 8-Year'!F16/'Subleasing · 8-Year'!F11*G12,0)</f>
        <v>28979.60083988</v>
      </c>
      <c r="H24" s="438" t="n">
        <f aca="false">'Subleasing · 8-Year'!G15*SURVIVAL_ASSUMPTIONS!C16+IFERROR('Subleasing · 8-Year'!G16/'Subleasing · 8-Year'!G11*H12,0)</f>
        <v>29848.9888650764</v>
      </c>
      <c r="I24" s="438" t="n">
        <f aca="false">'Subleasing · 8-Year'!H15*SURVIVAL_ASSUMPTIONS!C16+IFERROR('Subleasing · 8-Year'!H16/'Subleasing · 8-Year'!H11*I12,0)</f>
        <v>31035.4618277076</v>
      </c>
      <c r="J24" s="438" t="n">
        <f aca="false">'Subleasing · 8-Year'!I15*SURVIVAL_ASSUMPTIONS!C16+IFERROR('Subleasing · 8-Year'!I16/'Subleasing · 8-Year'!I11*J12,0)</f>
        <v>31966.5256825389</v>
      </c>
      <c r="K24" s="438" t="n">
        <f aca="false">'Subleasing · 8-Year'!J15*SURVIVAL_ASSUMPTIONS!C16+IFERROR('Subleasing · 8-Year'!J16/'Subleasing · 8-Year'!J11*K12,0)</f>
        <v>32925.521453015</v>
      </c>
      <c r="L24" s="438" t="n">
        <f aca="false">'Subleasing · 8-Year'!J15*(1+UNIVERSAL_DRIVERS!$C$8)*SURVIVAL_ASSUMPTIONS!C16+IFERROR('Subleasing · 8-Year'!J16/'Subleasing · 8-Year'!J11*(1+UNIVERSAL_DRIVERS!$C$8)*L12,0)</f>
        <v>34113.6190070086</v>
      </c>
      <c r="M24" s="438" t="n">
        <f aca="false">'Subleasing · 8-Year'!J15*(1+UNIVERSAL_DRIVERS!$C$8)^2*SURVIVAL_ASSUMPTIONS!C16+IFERROR('Subleasing · 8-Year'!J16/'Subleasing · 8-Year'!J11*(1+UNIVERSAL_DRIVERS!$C$8)^2*M12,0)</f>
        <v>35349.5597009656</v>
      </c>
      <c r="N24" s="6"/>
    </row>
    <row r="25" customFormat="false" ht="15" hidden="false" customHeight="true" outlineLevel="0" collapsed="false">
      <c r="B25" s="113" t="s">
        <v>143</v>
      </c>
      <c r="C25" s="438" t="n">
        <v>0</v>
      </c>
      <c r="D25" s="438" t="n">
        <f aca="false">'F&amp;B · 8-Year'!C15*SURVIVAL_ASSUMPTIONS!C16+IFERROR('F&amp;B · 8-Year'!C16/'F&amp;B · 8-Year'!C11*D13,0)</f>
        <v>363843.519969084</v>
      </c>
      <c r="E25" s="438" t="n">
        <f aca="false">'F&amp;B · 8-Year'!D15*SURVIVAL_ASSUMPTIONS!C16+IFERROR('F&amp;B · 8-Year'!D16/'F&amp;B · 8-Year'!D11*E13,0)</f>
        <v>429876.524753625</v>
      </c>
      <c r="F25" s="438" t="n">
        <f aca="false">'F&amp;B · 8-Year'!E15*SURVIVAL_ASSUMPTIONS!C16+IFERROR('F&amp;B · 8-Year'!E16/'F&amp;B · 8-Year'!E11*F13,0)</f>
        <v>451887.526348472</v>
      </c>
      <c r="G25" s="438" t="n">
        <f aca="false">'F&amp;B · 8-Year'!F15*SURVIVAL_ASSUMPTIONS!C16+IFERROR('F&amp;B · 8-Year'!F16/'F&amp;B · 8-Year'!F11*G13,0)</f>
        <v>451887.526348472</v>
      </c>
      <c r="H25" s="438" t="n">
        <f aca="false">'F&amp;B · 8-Year'!G15*SURVIVAL_ASSUMPTIONS!C16+IFERROR('F&amp;B · 8-Year'!G16/'F&amp;B · 8-Year'!G11*H13,0)</f>
        <v>462893.027145896</v>
      </c>
      <c r="I25" s="438" t="n">
        <f aca="false">'F&amp;B · 8-Year'!H15*SURVIVAL_ASSUMPTIONS!C16+IFERROR('F&amp;B · 8-Year'!H16/'F&amp;B · 8-Year'!H11*I13,0)</f>
        <v>474448.802983191</v>
      </c>
      <c r="J25" s="438" t="n">
        <f aca="false">'F&amp;B · 8-Year'!I15*SURVIVAL_ASSUMPTIONS!C16+IFERROR('F&amp;B · 8-Year'!I16/'F&amp;B · 8-Year'!I11*J13,0)</f>
        <v>486582.36761235</v>
      </c>
      <c r="K25" s="438" t="n">
        <f aca="false">'F&amp;B · 8-Year'!J15*SURVIVAL_ASSUMPTIONS!C16+IFERROR('F&amp;B · 8-Year'!J16/'F&amp;B · 8-Year'!J11*K13,0)</f>
        <v>499322.610472968</v>
      </c>
      <c r="L25" s="438" t="n">
        <f aca="false">'F&amp;B · 8-Year'!J15*(1+UNIVERSAL_DRIVERS!$C$8)*SURVIVAL_ASSUMPTIONS!C16+IFERROR('F&amp;B · 8-Year'!J16/'F&amp;B · 8-Year'!J11*(1+UNIVERSAL_DRIVERS!$C$8)*L13,0)</f>
        <v>522569.432379412</v>
      </c>
      <c r="M25" s="438" t="n">
        <f aca="false">'F&amp;B · 8-Year'!J15*(1+UNIVERSAL_DRIVERS!$C$8)^2*SURVIVAL_ASSUMPTIONS!C16+IFERROR('F&amp;B · 8-Year'!J16/'F&amp;B · 8-Year'!J11*(1+UNIVERSAL_DRIVERS!$C$8)^2*M13,0)</f>
        <v>547017.127987817</v>
      </c>
      <c r="N25" s="6"/>
    </row>
    <row r="26" customFormat="false" ht="15" hidden="false" customHeight="true" outlineLevel="0" collapsed="false">
      <c r="B26" s="113" t="s">
        <v>153</v>
      </c>
      <c r="C26" s="438" t="n">
        <v>0</v>
      </c>
      <c r="D26" s="438" t="n">
        <f aca="false">'Sponsorships · 8-Year'!C15*SURVIVAL_ASSUMPTIONS!C16+IFERROR('Sponsorships · 8-Year'!C16/'Sponsorships · 8-Year'!C11*D14,0)</f>
        <v>93332</v>
      </c>
      <c r="E26" s="438" t="n">
        <f aca="false">'Sponsorships · 8-Year'!D15*SURVIVAL_ASSUMPTIONS!C16+IFERROR('Sponsorships · 8-Year'!D16/'Sponsorships · 8-Year'!D11*E14,0)</f>
        <v>101452.94</v>
      </c>
      <c r="F26" s="438" t="n">
        <f aca="false">'Sponsorships · 8-Year'!E15*SURVIVAL_ASSUMPTIONS!C16+IFERROR('Sponsorships · 8-Year'!E16/'Sponsorships · 8-Year'!E11*F14,0)</f>
        <v>106323.398</v>
      </c>
      <c r="G26" s="438" t="n">
        <f aca="false">'Sponsorships · 8-Year'!F15*SURVIVAL_ASSUMPTIONS!C16+IFERROR('Sponsorships · 8-Year'!F16/'Sponsorships · 8-Year'!F11*G14,0)</f>
        <v>109513.09994</v>
      </c>
      <c r="H26" s="438" t="n">
        <f aca="false">'Sponsorships · 8-Year'!G15*SURVIVAL_ASSUMPTIONS!C16+IFERROR('Sponsorships · 8-Year'!G16/'Sponsorships · 8-Year'!G11*H14,0)</f>
        <v>112798.4929382</v>
      </c>
      <c r="I26" s="438" t="n">
        <f aca="false">'Sponsorships · 8-Year'!H15*SURVIVAL_ASSUMPTIONS!C16+IFERROR('Sponsorships · 8-Year'!H16/'Sponsorships · 8-Year'!H11*I14,0)</f>
        <v>117180.582704318</v>
      </c>
      <c r="J26" s="438" t="n">
        <f aca="false">'Sponsorships · 8-Year'!I15*SURVIVAL_ASSUMPTIONS!C16+IFERROR('Sponsorships · 8-Year'!I16/'Sponsorships · 8-Year'!I11*J14,0)</f>
        <v>120696.000185448</v>
      </c>
      <c r="K26" s="438" t="n">
        <f aca="false">'Sponsorships · 8-Year'!J15*SURVIVAL_ASSUMPTIONS!C16+IFERROR('Sponsorships · 8-Year'!J16/'Sponsorships · 8-Year'!J11*K14,0)</f>
        <v>124316.880191011</v>
      </c>
      <c r="L26" s="438" t="n">
        <f aca="false">'Sponsorships · 8-Year'!J15*(1+UNIVERSAL_DRIVERS!$C$8)*SURVIVAL_ASSUMPTIONS!C16+IFERROR('Sponsorships · 8-Year'!J16/'Sponsorships · 8-Year'!J11*(1+UNIVERSAL_DRIVERS!$C$8)*L14,0)</f>
        <v>128733.520691989</v>
      </c>
      <c r="M26" s="438" t="n">
        <f aca="false">'Sponsorships · 8-Year'!J15*(1+UNIVERSAL_DRIVERS!$C$8)^2*SURVIVAL_ASSUMPTIONS!C16+IFERROR('Sponsorships · 8-Year'!J16/'Sponsorships · 8-Year'!J11*(1+UNIVERSAL_DRIVERS!$C$8)^2*M14,0)</f>
        <v>133324.506874396</v>
      </c>
      <c r="N26" s="6"/>
    </row>
    <row r="27" customFormat="false" ht="15" hidden="false" customHeight="true" outlineLevel="0" collapsed="false">
      <c r="B27" s="113" t="s">
        <v>155</v>
      </c>
      <c r="C27" s="438" t="n">
        <v>0</v>
      </c>
      <c r="D27" s="438" t="n">
        <f aca="false">'Borderless · 8-Year'!C15*SURVIVAL_ASSUMPTIONS!C16+IFERROR('Borderless · 8-Year'!C16/'Borderless · 8-Year'!C11*D15,0)</f>
        <v>51893.8</v>
      </c>
      <c r="E27" s="438" t="n">
        <f aca="false">'Borderless · 8-Year'!D15*SURVIVAL_ASSUMPTIONS!C16+IFERROR('Borderless · 8-Year'!D16/'Borderless · 8-Year'!D11*E15,0)</f>
        <v>71935.921</v>
      </c>
      <c r="F27" s="438" t="n">
        <f aca="false">'Borderless · 8-Year'!E15*SURVIVAL_ASSUMPTIONS!C16+IFERROR('Borderless · 8-Year'!E16/'Borderless · 8-Year'!E11*F15,0)</f>
        <v>80440.6207</v>
      </c>
      <c r="G27" s="438" t="n">
        <f aca="false">'Borderless · 8-Year'!F15*SURVIVAL_ASSUMPTIONS!C16+IFERROR('Borderless · 8-Year'!F16/'Borderless · 8-Year'!F11*G15,0)</f>
        <v>82853.839321</v>
      </c>
      <c r="H27" s="438" t="n">
        <f aca="false">'Borderless · 8-Year'!G15*SURVIVAL_ASSUMPTIONS!C16+IFERROR('Borderless · 8-Year'!G16/'Borderless · 8-Year'!G11*H15,0)</f>
        <v>85339.45450063</v>
      </c>
      <c r="I27" s="438" t="n">
        <f aca="false">'Borderless · 8-Year'!H15*SURVIVAL_ASSUMPTIONS!C16+IFERROR('Borderless · 8-Year'!H16/'Borderless · 8-Year'!H11*I15,0)</f>
        <v>91367.2007829914</v>
      </c>
      <c r="J27" s="438" t="n">
        <f aca="false">'Borderless · 8-Year'!I15*SURVIVAL_ASSUMPTIONS!C16+IFERROR('Borderless · 8-Year'!I16/'Borderless · 8-Year'!I11*J15,0)</f>
        <v>94108.2168064811</v>
      </c>
      <c r="K27" s="438" t="n">
        <f aca="false">'Borderless · 8-Year'!J15*SURVIVAL_ASSUMPTIONS!C16+IFERROR('Borderless · 8-Year'!J16/'Borderless · 8-Year'!J11*K15,0)</f>
        <v>96931.4633106755</v>
      </c>
      <c r="L27" s="438" t="n">
        <f aca="false">'Borderless · 8-Year'!J15*(1+UNIVERSAL_DRIVERS!$C$8)*SURVIVAL_ASSUMPTIONS!C16+IFERROR('Borderless · 8-Year'!J16/'Borderless · 8-Year'!J11*(1+UNIVERSAL_DRIVERS!$C$8)*L15,0)</f>
        <v>102226.53978723</v>
      </c>
      <c r="M27" s="438" t="n">
        <f aca="false">'Borderless · 8-Year'!J15*(1+UNIVERSAL_DRIVERS!$C$8)^2*SURVIVAL_ASSUMPTIONS!C16+IFERROR('Borderless · 8-Year'!J16/'Borderless · 8-Year'!J11*(1+UNIVERSAL_DRIVERS!$C$8)^2*M15,0)</f>
        <v>107825.844932034</v>
      </c>
      <c r="N27" s="6"/>
    </row>
    <row r="28" customFormat="false" ht="24" hidden="false" customHeight="true" outlineLevel="0" collapsed="false">
      <c r="B28" s="439" t="s">
        <v>1384</v>
      </c>
      <c r="C28" s="440" t="n">
        <f aca="false">SUM(C19:C27)</f>
        <v>0</v>
      </c>
      <c r="D28" s="440" t="n">
        <f aca="false">SUM(D19:D27)</f>
        <v>1966316.45689182</v>
      </c>
      <c r="E28" s="440" t="n">
        <f aca="false">SUM(E19:E27)</f>
        <v>2280100.29924308</v>
      </c>
      <c r="F28" s="440" t="n">
        <f aca="false">SUM(F19:F27)</f>
        <v>2412954.0931922</v>
      </c>
      <c r="G28" s="440" t="n">
        <f aca="false">SUM(G19:G27)</f>
        <v>2461750.91931751</v>
      </c>
      <c r="H28" s="440" t="n">
        <f aca="false">SUM(H19:H27)</f>
        <v>2541639.42443594</v>
      </c>
      <c r="I28" s="440" t="n">
        <f aca="false">SUM(I19:I27)</f>
        <v>2640785.13332545</v>
      </c>
      <c r="J28" s="440" t="n">
        <f aca="false">SUM(J19:J27)</f>
        <v>2722790.62054904</v>
      </c>
      <c r="K28" s="440" t="n">
        <f aca="false">SUM(K19:K27)</f>
        <v>2804674.4366244</v>
      </c>
      <c r="L28" s="440" t="n">
        <f aca="false">SUM(L19:L27)</f>
        <v>2924214.79536814</v>
      </c>
      <c r="M28" s="440" t="n">
        <f aca="false">SUM(M19:M27)</f>
        <v>3049497.23252598</v>
      </c>
      <c r="N28" s="6"/>
    </row>
    <row r="29" customFormat="false" ht="15" hidden="false" customHeight="true" outlineLevel="0" collapsed="false">
      <c r="B29" s="6"/>
      <c r="N29" s="6"/>
    </row>
    <row r="30" customFormat="false" ht="19.5" hidden="false" customHeight="true" outlineLevel="0" collapsed="false">
      <c r="B30" s="332" t="s">
        <v>1385</v>
      </c>
      <c r="C30" s="332"/>
      <c r="D30" s="332"/>
      <c r="E30" s="332"/>
      <c r="F30" s="332"/>
      <c r="G30" s="332"/>
      <c r="H30" s="332"/>
      <c r="I30" s="332"/>
      <c r="J30" s="332"/>
      <c r="K30" s="332"/>
      <c r="L30" s="332"/>
      <c r="M30" s="332"/>
      <c r="N30" s="6"/>
    </row>
    <row r="31" customFormat="false" ht="15" hidden="false" customHeight="true" outlineLevel="0" collapsed="false">
      <c r="B31" s="113" t="s">
        <v>1172</v>
      </c>
      <c r="C31" s="357" t="n">
        <f aca="false">C16-C28</f>
        <v>0</v>
      </c>
      <c r="D31" s="357" t="n">
        <f aca="false">D16-D28</f>
        <v>1130989.02599566</v>
      </c>
      <c r="E31" s="357" t="n">
        <f aca="false">E16-E28</f>
        <v>2419909.27349572</v>
      </c>
      <c r="F31" s="357" t="n">
        <f aca="false">F16-F28</f>
        <v>2880203.52303473</v>
      </c>
      <c r="G31" s="357" t="n">
        <f aca="false">G16-G28</f>
        <v>2946904.52451804</v>
      </c>
      <c r="H31" s="357" t="n">
        <f aca="false">H16-H28</f>
        <v>3098667.50621315</v>
      </c>
      <c r="I31" s="357" t="n">
        <f aca="false">I16-I28</f>
        <v>3392687.61113315</v>
      </c>
      <c r="J31" s="357" t="n">
        <f aca="false">J16-J28</f>
        <v>3540707.66070416</v>
      </c>
      <c r="K31" s="357" t="n">
        <f aca="false">K16-K28</f>
        <v>3680143.17631914</v>
      </c>
      <c r="L31" s="357" t="n">
        <f aca="false">L16-L28</f>
        <v>3755147.3459637</v>
      </c>
      <c r="M31" s="357" t="n">
        <f aca="false">M16-M28</f>
        <v>3830245.77304581</v>
      </c>
      <c r="N31" s="6"/>
    </row>
    <row r="32" customFormat="false" ht="36" hidden="false" customHeight="true" outlineLevel="0" collapsed="false">
      <c r="B32" s="113" t="s">
        <v>1386</v>
      </c>
      <c r="C32" s="361" t="n">
        <v>0</v>
      </c>
      <c r="D32" s="361" t="n">
        <f aca="false">(-'Master Cost'!C55/1.03^3*SURVIVAL_ASSUMPTIONS!C16*SURVIVAL_ASSUMPTIONS!C45)*0.9</f>
        <v>-1450861.55833067</v>
      </c>
      <c r="E32" s="361" t="n">
        <f aca="false">(-'Master Cost'!C55/1.03^2*SURVIVAL_ASSUMPTIONS!C16*SURVIVAL_ASSUMPTIONS!C45)*0.9</f>
        <v>-1494387.40508059</v>
      </c>
      <c r="F32" s="361" t="n">
        <f aca="false">(-'Master Cost'!C55/1.03*SURVIVAL_ASSUMPTIONS!C16*SURVIVAL_ASSUMPTIONS!C45)*0.9</f>
        <v>-1539219.02723301</v>
      </c>
      <c r="G32" s="361" t="n">
        <f aca="false">(-'Master Cost'!C55*SURVIVAL_ASSUMPTIONS!C16*SURVIVAL_ASSUMPTIONS!C45)*0.9</f>
        <v>-1585395.59805</v>
      </c>
      <c r="H32" s="361" t="n">
        <f aca="false">(-'Master Cost'!C55*(1+UNIVERSAL_DRIVERS!$C$8)*SURVIVAL_ASSUMPTIONS!C16*SURVIVAL_ASSUMPTIONS!C45)*0.9</f>
        <v>-1632957.4659915</v>
      </c>
      <c r="I32" s="361" t="n">
        <f aca="false">(-'Master Cost'!C55*(1+UNIVERSAL_DRIVERS!$C$8)^2*SURVIVAL_ASSUMPTIONS!C16*SURVIVAL_ASSUMPTIONS!C45)*0.9</f>
        <v>-1681946.18997125</v>
      </c>
      <c r="J32" s="361" t="n">
        <f aca="false">(-'Master Cost'!C55*(1+UNIVERSAL_DRIVERS!$C$8)^3*SURVIVAL_ASSUMPTIONS!C16*SURVIVAL_ASSUMPTIONS!C45)*0.9</f>
        <v>-1732404.57567038</v>
      </c>
      <c r="K32" s="361" t="n">
        <f aca="false">(-'Master Cost'!C55*(1+UNIVERSAL_DRIVERS!$C$8)^4*SURVIVAL_ASSUMPTIONS!C16*SURVIVAL_ASSUMPTIONS!C45)*0.9</f>
        <v>-1784376.71294049</v>
      </c>
      <c r="L32" s="361" t="n">
        <f aca="false">(-'Master Cost'!C55*(1+UNIVERSAL_DRIVERS!$C$8)^5*SURVIVAL_ASSUMPTIONS!C16*SURVIVAL_ASSUMPTIONS!C45)*0.9</f>
        <v>-1837908.01432871</v>
      </c>
      <c r="M32" s="361" t="n">
        <f aca="false">(-'Master Cost'!C55*(1+UNIVERSAL_DRIVERS!$C$8)^6*SURVIVAL_ASSUMPTIONS!C16*SURVIVAL_ASSUMPTIONS!C45)*0.9</f>
        <v>-1893045.25475857</v>
      </c>
      <c r="N32" s="6"/>
    </row>
    <row r="33" customFormat="false" ht="25.5" hidden="false" customHeight="true" outlineLevel="0" collapsed="false">
      <c r="B33" s="441" t="s">
        <v>1387</v>
      </c>
      <c r="C33" s="442" t="n">
        <f aca="false">C31+C32</f>
        <v>0</v>
      </c>
      <c r="D33" s="442" t="n">
        <f aca="false">D31+D32</f>
        <v>-319872.532335017</v>
      </c>
      <c r="E33" s="442" t="n">
        <f aca="false">E31+E32</f>
        <v>925521.868415132</v>
      </c>
      <c r="F33" s="442" t="n">
        <f aca="false">F31+F32</f>
        <v>1340984.49580172</v>
      </c>
      <c r="G33" s="442" t="n">
        <f aca="false">G31+G32</f>
        <v>1361508.92646804</v>
      </c>
      <c r="H33" s="442" t="n">
        <f aca="false">H31+H32</f>
        <v>1465710.04022165</v>
      </c>
      <c r="I33" s="442" t="n">
        <f aca="false">I31+I32</f>
        <v>1710741.42116191</v>
      </c>
      <c r="J33" s="442" t="n">
        <f aca="false">J31+J32</f>
        <v>1808303.08503377</v>
      </c>
      <c r="K33" s="442" t="n">
        <f aca="false">K31+K32</f>
        <v>1895766.46337864</v>
      </c>
      <c r="L33" s="442" t="n">
        <f aca="false">L31+L32</f>
        <v>1917239.33163499</v>
      </c>
      <c r="M33" s="442" t="n">
        <f aca="false">M31+M32</f>
        <v>1937200.51828724</v>
      </c>
      <c r="N33" s="6"/>
    </row>
    <row r="34" customFormat="false" ht="15" hidden="false" customHeight="true" outlineLevel="0" collapsed="false">
      <c r="B34" s="6"/>
      <c r="N34" s="6"/>
    </row>
    <row r="35" customFormat="false" ht="19.5" hidden="false" customHeight="true" outlineLevel="0" collapsed="false">
      <c r="B35" s="332" t="s">
        <v>1388</v>
      </c>
      <c r="C35" s="332"/>
      <c r="D35" s="332"/>
      <c r="E35" s="332"/>
      <c r="F35" s="332"/>
      <c r="G35" s="332"/>
      <c r="H35" s="332"/>
      <c r="I35" s="332"/>
      <c r="J35" s="332"/>
      <c r="K35" s="332"/>
      <c r="L35" s="332"/>
      <c r="M35" s="332"/>
      <c r="N35" s="6"/>
    </row>
    <row r="36" customFormat="false" ht="36" hidden="false" customHeight="true" outlineLevel="0" collapsed="false">
      <c r="B36" s="113" t="s">
        <v>1389</v>
      </c>
      <c r="C36" s="443" t="n">
        <f aca="false">-CapEx!D70</f>
        <v>-7820000</v>
      </c>
      <c r="D36" s="443" t="n">
        <v>0</v>
      </c>
      <c r="E36" s="443" t="n">
        <v>1485000</v>
      </c>
      <c r="F36" s="443" t="n">
        <v>0</v>
      </c>
      <c r="G36" s="443" t="n">
        <v>0</v>
      </c>
      <c r="H36" s="443" t="n">
        <v>0</v>
      </c>
      <c r="I36" s="443" t="n">
        <v>0</v>
      </c>
      <c r="J36" s="443" t="n">
        <v>0</v>
      </c>
      <c r="K36" s="443" t="n">
        <v>0</v>
      </c>
      <c r="L36" s="443" t="n">
        <v>0</v>
      </c>
      <c r="M36" s="443" t="n">
        <v>0</v>
      </c>
      <c r="N36" s="6"/>
    </row>
    <row r="37" customFormat="false" ht="15" hidden="false" customHeight="true" outlineLevel="0" collapsed="false">
      <c r="B37" s="113" t="s">
        <v>1390</v>
      </c>
      <c r="C37" s="361" t="n">
        <v>0</v>
      </c>
      <c r="D37" s="361" t="n">
        <f aca="false">CapEx!D64*0.07+CapEx!D64/7</f>
        <v>-724140</v>
      </c>
      <c r="E37" s="361" t="n">
        <f aca="false">CapEx!D64*0.07+CapEx!D64/7</f>
        <v>-724140</v>
      </c>
      <c r="F37" s="361" t="n">
        <f aca="false">CapEx!D64*0.07+CapEx!D64/7</f>
        <v>-724140</v>
      </c>
      <c r="G37" s="361" t="n">
        <f aca="false">CapEx!D64*0.07+CapEx!D64/7</f>
        <v>-724140</v>
      </c>
      <c r="H37" s="361" t="n">
        <f aca="false">CapEx!D64*0.07+CapEx!D64/7</f>
        <v>-724140</v>
      </c>
      <c r="I37" s="361" t="n">
        <f aca="false">CapEx!D64*0.07+CapEx!D64/7</f>
        <v>-724140</v>
      </c>
      <c r="J37" s="361" t="n">
        <f aca="false">CapEx!D64*0.07+CapEx!D64/7</f>
        <v>-724140</v>
      </c>
      <c r="K37" s="361" t="n">
        <v>0</v>
      </c>
      <c r="L37" s="361" t="n">
        <v>0</v>
      </c>
      <c r="M37" s="361" t="n">
        <v>0</v>
      </c>
      <c r="N37" s="6"/>
    </row>
    <row r="38" customFormat="false" ht="15" hidden="false" customHeight="true" outlineLevel="0" collapsed="false">
      <c r="B38" s="113" t="s">
        <v>1391</v>
      </c>
      <c r="C38" s="361" t="n">
        <v>0</v>
      </c>
      <c r="D38" s="361" t="n">
        <f aca="false">-1500000/3</f>
        <v>-500000</v>
      </c>
      <c r="E38" s="361" t="n">
        <f aca="false">-1500000/3</f>
        <v>-500000</v>
      </c>
      <c r="F38" s="361" t="n">
        <f aca="false">-1500000/3</f>
        <v>-500000</v>
      </c>
      <c r="G38" s="361" t="n">
        <v>0</v>
      </c>
      <c r="H38" s="361" t="n">
        <v>0</v>
      </c>
      <c r="I38" s="361" t="n">
        <v>0</v>
      </c>
      <c r="J38" s="361" t="n">
        <v>0</v>
      </c>
      <c r="K38" s="361" t="n">
        <v>0</v>
      </c>
      <c r="L38" s="361" t="n">
        <v>0</v>
      </c>
      <c r="M38" s="361" t="n">
        <v>0</v>
      </c>
      <c r="N38" s="6"/>
    </row>
    <row r="39" customFormat="false" ht="15" hidden="false" customHeight="true" outlineLevel="0" collapsed="false">
      <c r="B39" s="113" t="s">
        <v>1392</v>
      </c>
      <c r="C39" s="361" t="n">
        <v>0</v>
      </c>
      <c r="D39" s="361" t="n">
        <f aca="false">-D16*UNIVERSAL_DRIVERS!$C$32</f>
        <v>-92919.1644866243</v>
      </c>
      <c r="E39" s="361" t="n">
        <f aca="false">-E16*UNIVERSAL_DRIVERS!$C$32</f>
        <v>-141000.287182164</v>
      </c>
      <c r="F39" s="361" t="n">
        <f aca="false">-F16*UNIVERSAL_DRIVERS!$C$32</f>
        <v>-158794.728486808</v>
      </c>
      <c r="G39" s="361" t="n">
        <f aca="false">-G16*UNIVERSAL_DRIVERS!$C$32</f>
        <v>-162259.663315067</v>
      </c>
      <c r="H39" s="361" t="n">
        <f aca="false">-H16*UNIVERSAL_DRIVERS!$C$32</f>
        <v>-169209.207919473</v>
      </c>
      <c r="I39" s="361" t="n">
        <f aca="false">-I16*UNIVERSAL_DRIVERS!$C$32</f>
        <v>-181004.182333758</v>
      </c>
      <c r="J39" s="361" t="n">
        <f aca="false">-J16*UNIVERSAL_DRIVERS!$C$32</f>
        <v>-187904.948437596</v>
      </c>
      <c r="K39" s="361" t="n">
        <f aca="false">-K16*UNIVERSAL_DRIVERS!$C$32</f>
        <v>-194544.528388306</v>
      </c>
      <c r="L39" s="361" t="n">
        <f aca="false">-L16*UNIVERSAL_DRIVERS!$C$32</f>
        <v>-200380.864239955</v>
      </c>
      <c r="M39" s="361" t="n">
        <f aca="false">-M16*UNIVERSAL_DRIVERS!$C$32</f>
        <v>-206392.290167154</v>
      </c>
      <c r="N39" s="6"/>
    </row>
    <row r="40" customFormat="false" ht="15" hidden="false" customHeight="true" outlineLevel="0" collapsed="false">
      <c r="B40" s="113" t="s">
        <v>1393</v>
      </c>
      <c r="C40" s="361" t="n">
        <v>0</v>
      </c>
      <c r="D40" s="361" t="n">
        <f aca="false">-150000*SURVIVAL_ASSUMPTIONS!C16</f>
        <v>-150000</v>
      </c>
      <c r="E40" s="361" t="n">
        <f aca="false">-150000*SURVIVAL_ASSUMPTIONS!C16</f>
        <v>-150000</v>
      </c>
      <c r="F40" s="361" t="n">
        <f aca="false">-150000*SURVIVAL_ASSUMPTIONS!C16</f>
        <v>-150000</v>
      </c>
      <c r="G40" s="361" t="n">
        <f aca="false">-150000*SURVIVAL_ASSUMPTIONS!C16</f>
        <v>-150000</v>
      </c>
      <c r="H40" s="361" t="n">
        <f aca="false">-150000*SURVIVAL_ASSUMPTIONS!C16</f>
        <v>-150000</v>
      </c>
      <c r="I40" s="361" t="n">
        <f aca="false">-150000*SURVIVAL_ASSUMPTIONS!C16</f>
        <v>-150000</v>
      </c>
      <c r="J40" s="361" t="n">
        <f aca="false">-150000*SURVIVAL_ASSUMPTIONS!C16</f>
        <v>-150000</v>
      </c>
      <c r="K40" s="361" t="n">
        <f aca="false">-150000*SURVIVAL_ASSUMPTIONS!C16</f>
        <v>-150000</v>
      </c>
      <c r="L40" s="361" t="n">
        <f aca="false">-150000*SURVIVAL_ASSUMPTIONS!C16</f>
        <v>-150000</v>
      </c>
      <c r="M40" s="361" t="n">
        <f aca="false">-150000*SURVIVAL_ASSUMPTIONS!C16</f>
        <v>-150000</v>
      </c>
      <c r="N40" s="6"/>
    </row>
    <row r="41" customFormat="false" ht="15" hidden="false" customHeight="true" outlineLevel="0" collapsed="false">
      <c r="B41" s="113" t="s">
        <v>1394</v>
      </c>
      <c r="C41" s="361" t="n">
        <v>0</v>
      </c>
      <c r="D41" s="361" t="n">
        <v>0</v>
      </c>
      <c r="E41" s="361" t="n">
        <v>0</v>
      </c>
      <c r="F41" s="361" t="n">
        <v>0</v>
      </c>
      <c r="G41" s="361" t="n">
        <v>0</v>
      </c>
      <c r="H41" s="361" t="n">
        <v>0</v>
      </c>
      <c r="I41" s="361" t="n">
        <f aca="false">-MAX(0,I33)*UNIVERSAL_DRIVERS!$C$11</f>
        <v>-265164.920280095</v>
      </c>
      <c r="J41" s="361" t="n">
        <f aca="false">-MAX(0,J33)*UNIVERSAL_DRIVERS!$C$11</f>
        <v>-280286.978180235</v>
      </c>
      <c r="K41" s="361" t="n">
        <f aca="false">-MAX(0,K33)*UNIVERSAL_DRIVERS!$C$11</f>
        <v>-293843.801823689</v>
      </c>
      <c r="L41" s="361" t="n">
        <f aca="false">-MAX(0,L33)*UNIVERSAL_DRIVERS!$C$11</f>
        <v>-297172.096403423</v>
      </c>
      <c r="M41" s="361" t="n">
        <f aca="false">-MAX(0,M33)*UNIVERSAL_DRIVERS!$C$11</f>
        <v>-300266.080334523</v>
      </c>
      <c r="N41" s="6"/>
    </row>
    <row r="42" customFormat="false" ht="15" hidden="false" customHeight="true" outlineLevel="0" collapsed="false">
      <c r="B42" s="113" t="s">
        <v>1395</v>
      </c>
      <c r="C42" s="361" t="n">
        <v>0</v>
      </c>
      <c r="D42" s="361" t="n">
        <f aca="false">-D16*UNIVERSAL_DRIVERS!$C$24</f>
        <v>-61946.1096577495</v>
      </c>
      <c r="E42" s="361" t="n">
        <f aca="false">-E16*UNIVERSAL_DRIVERS!$C$24</f>
        <v>-94000.191454776</v>
      </c>
      <c r="F42" s="361" t="n">
        <f aca="false">-F16*UNIVERSAL_DRIVERS!$C$24</f>
        <v>-105863.152324539</v>
      </c>
      <c r="G42" s="361" t="n">
        <f aca="false">-G16*UNIVERSAL_DRIVERS!$C$24</f>
        <v>-108173.108876711</v>
      </c>
      <c r="H42" s="361" t="n">
        <f aca="false">-H16*UNIVERSAL_DRIVERS!$C$24</f>
        <v>-112806.138612982</v>
      </c>
      <c r="I42" s="361" t="n">
        <f aca="false">-I16*UNIVERSAL_DRIVERS!$C$24</f>
        <v>-120669.454889172</v>
      </c>
      <c r="J42" s="361" t="n">
        <f aca="false">-J16*UNIVERSAL_DRIVERS!$C$24</f>
        <v>-125269.965625064</v>
      </c>
      <c r="K42" s="361" t="n">
        <f aca="false">-K16*UNIVERSAL_DRIVERS!$C$24</f>
        <v>-129696.352258871</v>
      </c>
      <c r="L42" s="361" t="n">
        <f aca="false">-L16*UNIVERSAL_DRIVERS!$C$24</f>
        <v>-133587.242826637</v>
      </c>
      <c r="M42" s="361" t="n">
        <f aca="false">-M16*UNIVERSAL_DRIVERS!$C$24</f>
        <v>-137594.860111436</v>
      </c>
      <c r="N42" s="6"/>
    </row>
    <row r="43" customFormat="false" ht="24" hidden="false" customHeight="true" outlineLevel="0" collapsed="false">
      <c r="B43" s="117" t="s">
        <v>1396</v>
      </c>
      <c r="C43" s="444" t="n">
        <f aca="false">C36</f>
        <v>-7820000</v>
      </c>
      <c r="D43" s="444" t="n">
        <f aca="false">D33+D36+D37+D38+D39+D40+D41+D42</f>
        <v>-1848877.80647939</v>
      </c>
      <c r="E43" s="444" t="n">
        <f aca="false">E33+E36+E37+E38+E39+E40+E41+E42</f>
        <v>801381.389778191</v>
      </c>
      <c r="F43" s="444" t="n">
        <f aca="false">F33+F36+F37+F38+F39+F40+F41+F42</f>
        <v>-297813.385009623</v>
      </c>
      <c r="G43" s="444" t="n">
        <f aca="false">G33+G36+G37+G38+G39+G40+G41+G42</f>
        <v>216936.154276263</v>
      </c>
      <c r="H43" s="444" t="n">
        <f aca="false">H33+H36+H37+H38+H39+H40+H41+H42</f>
        <v>309554.693689196</v>
      </c>
      <c r="I43" s="444" t="n">
        <f aca="false">I33+I36+I37+I38+I39+I40+I41+I42</f>
        <v>269762.86365888</v>
      </c>
      <c r="J43" s="444" t="n">
        <f aca="false">J33+J36+J37+J38+J39+J40+J41+J42</f>
        <v>340701.192790879</v>
      </c>
      <c r="K43" s="444" t="n">
        <f aca="false">K33+K36+K37+K38+K39+K40+K41+K42</f>
        <v>1127681.78090777</v>
      </c>
      <c r="L43" s="444" t="n">
        <f aca="false">L33+L36+L37+L38+L39+L40+L41+L42</f>
        <v>1136099.12816497</v>
      </c>
      <c r="M43" s="444" t="n">
        <f aca="false">M33+M36+M37+M38+M39+M40+M41+M42</f>
        <v>1142947.28767413</v>
      </c>
      <c r="N43" s="6"/>
    </row>
    <row r="44" customFormat="false" ht="25.5" hidden="false" customHeight="true" outlineLevel="0" collapsed="false">
      <c r="B44" s="445" t="s">
        <v>1397</v>
      </c>
      <c r="C44" s="446" t="n">
        <f aca="false">C43</f>
        <v>-7820000</v>
      </c>
      <c r="D44" s="446" t="n">
        <f aca="false">C44+D43</f>
        <v>-9668877.80647939</v>
      </c>
      <c r="E44" s="446" t="n">
        <f aca="false">D44+E43</f>
        <v>-8867496.4167012</v>
      </c>
      <c r="F44" s="446" t="n">
        <f aca="false">E44+F43</f>
        <v>-9165309.80171082</v>
      </c>
      <c r="G44" s="446" t="n">
        <f aca="false">F44+G43</f>
        <v>-8948373.64743456</v>
      </c>
      <c r="H44" s="446" t="n">
        <f aca="false">G44+H43</f>
        <v>-8638818.95374536</v>
      </c>
      <c r="I44" s="446" t="n">
        <f aca="false">H44+I43</f>
        <v>-8369056.09008648</v>
      </c>
      <c r="J44" s="446" t="n">
        <f aca="false">I44+J43</f>
        <v>-8028354.8972956</v>
      </c>
      <c r="K44" s="446" t="n">
        <f aca="false">J44+K43</f>
        <v>-6900673.11638783</v>
      </c>
      <c r="L44" s="446" t="n">
        <f aca="false">K44+L43</f>
        <v>-5764573.98822286</v>
      </c>
      <c r="M44" s="446" t="n">
        <f aca="false">L44+M43</f>
        <v>-4621626.70054873</v>
      </c>
      <c r="N44" s="6"/>
    </row>
    <row r="45" customFormat="false" ht="15" hidden="false" customHeight="true" outlineLevel="0" collapsed="false">
      <c r="B45" s="6"/>
      <c r="N45" s="6"/>
    </row>
    <row r="46" customFormat="false" ht="21.75" hidden="false" customHeight="true" outlineLevel="0" collapsed="false">
      <c r="B46" s="43" t="s">
        <v>1398</v>
      </c>
      <c r="C46" s="43"/>
      <c r="D46" s="43"/>
      <c r="E46" s="43"/>
      <c r="F46" s="43"/>
      <c r="G46" s="43"/>
      <c r="H46" s="43"/>
      <c r="I46" s="43"/>
      <c r="J46" s="43"/>
      <c r="K46" s="43"/>
      <c r="L46" s="43"/>
      <c r="M46" s="43"/>
      <c r="N46" s="6"/>
    </row>
    <row r="47" customFormat="false" ht="27.75" hidden="false" customHeight="true" outlineLevel="0" collapsed="false">
      <c r="B47" s="117" t="s">
        <v>1399</v>
      </c>
      <c r="C47" s="447" t="n">
        <f aca="false">MIN(C44:M44)</f>
        <v>-9668877.80647939</v>
      </c>
      <c r="N47" s="6"/>
    </row>
    <row r="48" customFormat="false" ht="27.75" hidden="false" customHeight="true" outlineLevel="0" collapsed="false">
      <c r="B48" s="117" t="s">
        <v>1400</v>
      </c>
      <c r="C48" s="448" t="str">
        <f aca="false">"Y"&amp;MATCH(MIN(C44:M44),C44:M44,0)-1</f>
        <v>Y1</v>
      </c>
      <c r="N48" s="6"/>
    </row>
    <row r="49" customFormat="false" ht="27.75" hidden="false" customHeight="true" outlineLevel="0" collapsed="false">
      <c r="B49" s="117" t="s">
        <v>1401</v>
      </c>
      <c r="C49" s="449" t="n">
        <f aca="false">MAX(0,C44-MIN(C44:M44))</f>
        <v>1848877.80647939</v>
      </c>
      <c r="N49" s="6"/>
    </row>
    <row r="50" customFormat="false" ht="27.75" hidden="false" customHeight="true" outlineLevel="0" collapsed="false">
      <c r="B50" s="117" t="s">
        <v>1402</v>
      </c>
      <c r="C50" s="448" t="str">
        <f aca="false">IFERROR("Y"&amp;MATCH(TRUE(),INDEX(D44:M44&gt;=0,0),0),"Not in Y10 horizon")</f>
        <v>Not in Y10 horizon</v>
      </c>
      <c r="N50" s="6"/>
    </row>
    <row r="51" customFormat="false" ht="27.75" hidden="false" customHeight="true" outlineLevel="0" collapsed="false">
      <c r="B51" s="117" t="s">
        <v>1403</v>
      </c>
      <c r="C51" s="442" t="n">
        <f aca="false">M44</f>
        <v>-4621626.70054873</v>
      </c>
      <c r="N51" s="6"/>
    </row>
    <row r="52" customFormat="false" ht="27.75" hidden="false" customHeight="true" outlineLevel="0" collapsed="false">
      <c r="B52" s="117" t="s">
        <v>1404</v>
      </c>
      <c r="C52" s="450" t="n">
        <f aca="false">G16/'Exec Summary'!C12</f>
        <v>0.810647105515912</v>
      </c>
      <c r="N52" s="6"/>
    </row>
    <row r="53" customFormat="false" ht="27.75" hidden="false" customHeight="true" outlineLevel="0" collapsed="false">
      <c r="B53" s="117" t="s">
        <v>1405</v>
      </c>
      <c r="C53" s="448" t="str">
        <f aca="false">IFERROR("Y"&amp;MATCH(TRUE(),INDEX(D43:M43&gt;0,0),0),"Never positive in Y10 horizon")</f>
        <v>Y2</v>
      </c>
      <c r="N53" s="6"/>
    </row>
    <row r="54" customFormat="false" ht="15" hidden="false" customHeight="true" outlineLevel="0" collapsed="false">
      <c r="B54" s="6"/>
      <c r="N54" s="6"/>
    </row>
    <row r="55" customFormat="false" ht="36" hidden="false" customHeight="true" outlineLevel="0" collapsed="false">
      <c r="B55" s="139" t="s">
        <v>1406</v>
      </c>
      <c r="C55" s="139"/>
      <c r="D55" s="139"/>
      <c r="E55" s="139"/>
      <c r="F55" s="139"/>
      <c r="G55" s="139"/>
      <c r="H55" s="139"/>
      <c r="I55" s="139"/>
      <c r="J55" s="139"/>
      <c r="K55" s="139"/>
      <c r="L55" s="139"/>
      <c r="M55" s="139"/>
      <c r="N55" s="6"/>
    </row>
    <row r="56" customFormat="false" ht="36" hidden="false" customHeight="true" outlineLevel="0" collapsed="false">
      <c r="B56" s="451" t="s">
        <v>1407</v>
      </c>
      <c r="C56" s="452" t="s">
        <v>1408</v>
      </c>
      <c r="D56" s="452" t="s">
        <v>1409</v>
      </c>
      <c r="E56" s="452" t="s">
        <v>1410</v>
      </c>
      <c r="F56" s="452" t="s">
        <v>1411</v>
      </c>
      <c r="G56" s="452" t="s">
        <v>1412</v>
      </c>
      <c r="H56" s="452" t="s">
        <v>1413</v>
      </c>
      <c r="I56" s="411" t="s">
        <v>669</v>
      </c>
      <c r="N56" s="6"/>
    </row>
    <row r="57" customFormat="false" ht="21.75" hidden="false" customHeight="true" outlineLevel="0" collapsed="false">
      <c r="B57" s="113" t="s">
        <v>1414</v>
      </c>
      <c r="C57" s="453" t="n">
        <f aca="false">F33</f>
        <v>1340984.49580172</v>
      </c>
      <c r="D57" s="385" t="n">
        <f aca="false">MAX(0,F33)*12</f>
        <v>16091813.9496207</v>
      </c>
      <c r="E57" s="385" t="n">
        <f aca="false">D57*MASTER_ASSUMPTIONS!$C$15</f>
        <v>7241316.18472936</v>
      </c>
      <c r="F57" s="385" t="n">
        <f aca="false">1485000</f>
        <v>1485000</v>
      </c>
      <c r="G57" s="385" t="n">
        <f aca="false">E57+F57</f>
        <v>8726316.18472936</v>
      </c>
      <c r="H57" s="454" t="n">
        <f aca="false">G57/MASTER_ASSUMPTIONS!$C$13</f>
        <v>1.11589721032345</v>
      </c>
      <c r="I57" s="455" t="str">
        <f aca="false">IF(H57&gt;=1,"✓ Recovered","✗ Impaired")</f>
        <v>✓ Recovered</v>
      </c>
      <c r="N57" s="6"/>
    </row>
    <row r="58" customFormat="false" ht="21.75" hidden="false" customHeight="true" outlineLevel="0" collapsed="false">
      <c r="B58" s="113" t="s">
        <v>1415</v>
      </c>
      <c r="C58" s="453" t="n">
        <f aca="false">F33</f>
        <v>1340984.49580172</v>
      </c>
      <c r="D58" s="385" t="n">
        <f aca="false">MAX(0,F33)*14</f>
        <v>18773782.9412241</v>
      </c>
      <c r="E58" s="385" t="n">
        <f aca="false">D58*MASTER_ASSUMPTIONS!$C$15</f>
        <v>8448202.21551758</v>
      </c>
      <c r="F58" s="385" t="n">
        <f aca="false">1485000</f>
        <v>1485000</v>
      </c>
      <c r="G58" s="385" t="n">
        <f aca="false">E58+F58</f>
        <v>9933202.21551758</v>
      </c>
      <c r="H58" s="454" t="n">
        <f aca="false">G58/MASTER_ASSUMPTIONS!$C$13</f>
        <v>1.2702304623424</v>
      </c>
      <c r="I58" s="455" t="str">
        <f aca="false">IF(H58&gt;=1,"✓ Recovered","✗ Impaired")</f>
        <v>✓ Recovered</v>
      </c>
      <c r="N58" s="6"/>
    </row>
    <row r="59" customFormat="false" ht="21.75" hidden="false" customHeight="true" outlineLevel="0" collapsed="false">
      <c r="B59" s="456" t="s">
        <v>1416</v>
      </c>
      <c r="C59" s="457" t="n">
        <f aca="false">F33</f>
        <v>1340984.49580172</v>
      </c>
      <c r="D59" s="458" t="n">
        <f aca="false">MAX(0,F33)*16</f>
        <v>21455751.9328276</v>
      </c>
      <c r="E59" s="458" t="n">
        <f aca="false">D59*MASTER_ASSUMPTIONS!$C$15</f>
        <v>9655088.24630581</v>
      </c>
      <c r="F59" s="458" t="n">
        <f aca="false">1485000</f>
        <v>1485000</v>
      </c>
      <c r="G59" s="458" t="n">
        <f aca="false">E59+F59</f>
        <v>11140088.2463058</v>
      </c>
      <c r="H59" s="459" t="n">
        <f aca="false">G59/MASTER_ASSUMPTIONS!$C$13</f>
        <v>1.42456371436136</v>
      </c>
      <c r="I59" s="455" t="str">
        <f aca="false">IF(H59&gt;=1,"✓ Recovered","✗ Impaired")</f>
        <v>✓ Recovered</v>
      </c>
      <c r="N59" s="6"/>
    </row>
    <row r="60" customFormat="false" ht="21.75" hidden="false" customHeight="true" outlineLevel="0" collapsed="false">
      <c r="B60" s="113" t="s">
        <v>1417</v>
      </c>
      <c r="C60" s="453" t="n">
        <f aca="false">H33</f>
        <v>1465710.04022165</v>
      </c>
      <c r="D60" s="385" t="n">
        <f aca="false">MAX(0,H33)*12</f>
        <v>17588520.4826598</v>
      </c>
      <c r="E60" s="385" t="n">
        <f aca="false">D60*MASTER_ASSUMPTIONS!$C$15</f>
        <v>7914834.1159842</v>
      </c>
      <c r="F60" s="385" t="n">
        <f aca="false">1485000</f>
        <v>1485000</v>
      </c>
      <c r="G60" s="385" t="n">
        <f aca="false">E60+F60</f>
        <v>9399834.1159842</v>
      </c>
      <c r="H60" s="454" t="n">
        <f aca="false">G60/MASTER_ASSUMPTIONS!$C$13</f>
        <v>1.20202482301588</v>
      </c>
      <c r="I60" s="455" t="str">
        <f aca="false">IF(H60&gt;=1,"✓ Recovered","✗ Impaired")</f>
        <v>✓ Recovered</v>
      </c>
      <c r="N60" s="6"/>
    </row>
    <row r="61" customFormat="false" ht="21.75" hidden="false" customHeight="true" outlineLevel="0" collapsed="false">
      <c r="B61" s="113" t="s">
        <v>1418</v>
      </c>
      <c r="C61" s="453" t="n">
        <f aca="false">H33</f>
        <v>1465710.04022165</v>
      </c>
      <c r="D61" s="385" t="n">
        <f aca="false">MAX(0,H33)*14</f>
        <v>20519940.5631031</v>
      </c>
      <c r="E61" s="385" t="n">
        <f aca="false">D61*MASTER_ASSUMPTIONS!$C$15</f>
        <v>9233973.1353149</v>
      </c>
      <c r="F61" s="385" t="n">
        <f aca="false">1485000</f>
        <v>1485000</v>
      </c>
      <c r="G61" s="385" t="n">
        <f aca="false">E61+F61</f>
        <v>10718973.1353149</v>
      </c>
      <c r="H61" s="454" t="n">
        <f aca="false">G61/MASTER_ASSUMPTIONS!$C$13</f>
        <v>1.37071267715024</v>
      </c>
      <c r="I61" s="455" t="str">
        <f aca="false">IF(H61&gt;=1,"✓ Recovered","✗ Impaired")</f>
        <v>✓ Recovered</v>
      </c>
      <c r="N61" s="6"/>
    </row>
    <row r="62" customFormat="false" ht="21.75" hidden="false" customHeight="true" outlineLevel="0" collapsed="false">
      <c r="B62" s="113" t="s">
        <v>1419</v>
      </c>
      <c r="C62" s="453" t="n">
        <f aca="false">H33</f>
        <v>1465710.04022165</v>
      </c>
      <c r="D62" s="385" t="n">
        <f aca="false">MAX(0,H33)*16</f>
        <v>23451360.6435464</v>
      </c>
      <c r="E62" s="385" t="n">
        <f aca="false">D62*MASTER_ASSUMPTIONS!$C$15</f>
        <v>10553112.1546456</v>
      </c>
      <c r="F62" s="385" t="n">
        <f aca="false">1485000</f>
        <v>1485000</v>
      </c>
      <c r="G62" s="385" t="n">
        <f aca="false">E62+F62</f>
        <v>12038112.1546456</v>
      </c>
      <c r="H62" s="454" t="n">
        <f aca="false">G62/MASTER_ASSUMPTIONS!$C$13</f>
        <v>1.5394005312846</v>
      </c>
      <c r="I62" s="455" t="str">
        <f aca="false">IF(H62&gt;=1,"✓ Recovered","✗ Impaired")</f>
        <v>✓ Recovered</v>
      </c>
      <c r="N62" s="6"/>
    </row>
    <row r="63" customFormat="false" ht="21.75" hidden="false" customHeight="true" outlineLevel="0" collapsed="false">
      <c r="B63" s="113" t="s">
        <v>1420</v>
      </c>
      <c r="C63" s="453" t="n">
        <f aca="false">J33</f>
        <v>1808303.08503377</v>
      </c>
      <c r="D63" s="385" t="n">
        <f aca="false">MAX(0,J33)*12</f>
        <v>21699637.0204053</v>
      </c>
      <c r="E63" s="385" t="n">
        <f aca="false">D63*MASTER_ASSUMPTIONS!$C$15</f>
        <v>9764836.53431235</v>
      </c>
      <c r="F63" s="385" t="n">
        <f aca="false">1485000</f>
        <v>1485000</v>
      </c>
      <c r="G63" s="385" t="n">
        <f aca="false">E63+F63</f>
        <v>11249836.5343123</v>
      </c>
      <c r="H63" s="454" t="n">
        <f aca="false">G63/MASTER_ASSUMPTIONS!$C$13</f>
        <v>1.43859802229058</v>
      </c>
      <c r="I63" s="455" t="str">
        <f aca="false">IF(H63&gt;=1,"✓ Recovered","✗ Impaired")</f>
        <v>✓ Recovered</v>
      </c>
      <c r="N63" s="6"/>
    </row>
    <row r="64" customFormat="false" ht="21.75" hidden="false" customHeight="true" outlineLevel="0" collapsed="false">
      <c r="B64" s="113" t="s">
        <v>1421</v>
      </c>
      <c r="C64" s="453" t="n">
        <f aca="false">J33</f>
        <v>1808303.08503377</v>
      </c>
      <c r="D64" s="385" t="n">
        <f aca="false">MAX(0,J33)*14</f>
        <v>25316243.1904728</v>
      </c>
      <c r="E64" s="385" t="n">
        <f aca="false">D64*MASTER_ASSUMPTIONS!$C$15</f>
        <v>11392309.2900311</v>
      </c>
      <c r="F64" s="385" t="n">
        <f aca="false">1485000</f>
        <v>1485000</v>
      </c>
      <c r="G64" s="385" t="n">
        <f aca="false">E64+F64</f>
        <v>12877309.2900311</v>
      </c>
      <c r="H64" s="454" t="n">
        <f aca="false">G64/MASTER_ASSUMPTIONS!$C$13</f>
        <v>1.64671474297072</v>
      </c>
      <c r="I64" s="455" t="str">
        <f aca="false">IF(H64&gt;=1,"✓ Recovered","✗ Impaired")</f>
        <v>✓ Recovered</v>
      </c>
      <c r="N64" s="6"/>
    </row>
    <row r="65" customFormat="false" ht="21.75" hidden="false" customHeight="true" outlineLevel="0" collapsed="false">
      <c r="B65" s="456" t="s">
        <v>1422</v>
      </c>
      <c r="C65" s="457" t="n">
        <f aca="false">J33</f>
        <v>1808303.08503377</v>
      </c>
      <c r="D65" s="458" t="n">
        <f aca="false">MAX(0,J33)*16</f>
        <v>28932849.3605404</v>
      </c>
      <c r="E65" s="458" t="n">
        <f aca="false">D65*MASTER_ASSUMPTIONS!$C$15</f>
        <v>13019782.0457498</v>
      </c>
      <c r="F65" s="458" t="n">
        <f aca="false">1485000</f>
        <v>1485000</v>
      </c>
      <c r="G65" s="458" t="n">
        <f aca="false">E65+F65</f>
        <v>14504782.0457498</v>
      </c>
      <c r="H65" s="459" t="n">
        <f aca="false">G65/MASTER_ASSUMPTIONS!$C$13</f>
        <v>1.85483146365087</v>
      </c>
      <c r="I65" s="455" t="str">
        <f aca="false">IF(H65&gt;=1,"✓ Recovered","✗ Impaired")</f>
        <v>✓ Recovered</v>
      </c>
      <c r="N65" s="6"/>
    </row>
    <row r="66" customFormat="false" ht="15" hidden="false" customHeight="true" outlineLevel="0" collapsed="false">
      <c r="B66" s="6" t="s">
        <v>1423</v>
      </c>
      <c r="N66" s="6"/>
    </row>
    <row r="67" customFormat="false" ht="36" hidden="false" customHeight="true" outlineLevel="0" collapsed="false">
      <c r="B67" s="6" t="s">
        <v>1424</v>
      </c>
      <c r="N67" s="6"/>
    </row>
    <row r="68" customFormat="false" ht="66" hidden="false" customHeight="true" outlineLevel="0" collapsed="false">
      <c r="B68" s="6" t="s">
        <v>1425</v>
      </c>
      <c r="N68" s="6"/>
    </row>
    <row r="69" customFormat="false" ht="15" hidden="false" customHeight="true" outlineLevel="0" collapsed="false">
      <c r="B69" s="6" t="s">
        <v>666</v>
      </c>
      <c r="C69" s="0" t="s">
        <v>756</v>
      </c>
      <c r="D69" s="0" t="s">
        <v>760</v>
      </c>
      <c r="E69" s="0" t="s">
        <v>908</v>
      </c>
      <c r="F69" s="0" t="s">
        <v>765</v>
      </c>
      <c r="G69" s="0" t="s">
        <v>770</v>
      </c>
      <c r="H69" s="0" t="s">
        <v>909</v>
      </c>
      <c r="I69" s="0" t="s">
        <v>910</v>
      </c>
      <c r="J69" s="0" t="s">
        <v>911</v>
      </c>
      <c r="K69" s="0" t="s">
        <v>912</v>
      </c>
      <c r="L69" s="0" t="s">
        <v>1200</v>
      </c>
      <c r="M69" s="0" t="s">
        <v>1201</v>
      </c>
      <c r="N69" s="6"/>
    </row>
    <row r="70" customFormat="false" ht="15" hidden="false" customHeight="true" outlineLevel="0" collapsed="false">
      <c r="B70" s="6"/>
      <c r="N70" s="6"/>
    </row>
    <row r="71" customFormat="false" ht="15" hidden="false" customHeight="true" outlineLevel="0" collapsed="false">
      <c r="B71" s="6" t="s">
        <v>1426</v>
      </c>
      <c r="C71" s="142" t="n">
        <f aca="false">C16</f>
        <v>0</v>
      </c>
      <c r="D71" s="142" t="n">
        <f aca="false">D16</f>
        <v>3097305.48288748</v>
      </c>
      <c r="E71" s="142" t="n">
        <f aca="false">E16</f>
        <v>4700009.5727388</v>
      </c>
      <c r="F71" s="142" t="n">
        <f aca="false">F16</f>
        <v>5293157.61622693</v>
      </c>
      <c r="G71" s="142" t="n">
        <f aca="false">G16</f>
        <v>5408655.44383555</v>
      </c>
      <c r="H71" s="142" t="n">
        <f aca="false">H16</f>
        <v>5640306.93064909</v>
      </c>
      <c r="I71" s="142" t="n">
        <f aca="false">I16</f>
        <v>6033472.7444586</v>
      </c>
      <c r="J71" s="142" t="n">
        <f aca="false">J16</f>
        <v>6263498.2812532</v>
      </c>
      <c r="K71" s="142" t="n">
        <f aca="false">K16</f>
        <v>6484817.61294353</v>
      </c>
      <c r="L71" s="142" t="n">
        <f aca="false">L16</f>
        <v>6679362.14133184</v>
      </c>
      <c r="M71" s="142" t="n">
        <f aca="false">M16</f>
        <v>6879743.00557179</v>
      </c>
      <c r="N71" s="6"/>
    </row>
    <row r="72" customFormat="false" ht="15" hidden="false" customHeight="true" outlineLevel="0" collapsed="false">
      <c r="B72" s="6" t="s">
        <v>1427</v>
      </c>
      <c r="C72" s="0" t="n">
        <v>0</v>
      </c>
      <c r="D72" s="0" t="n">
        <f aca="false">-'Academy · Drivers'!C116*SURVIVAL_ASSUMPTIONS!D27</f>
        <v>-9745.56</v>
      </c>
      <c r="E72" s="0" t="n">
        <f aca="false">-'Academy · Drivers'!C116*SURVIVAL_ASSUMPTIONS!C27</f>
        <v>-12994.08</v>
      </c>
      <c r="F72" s="0" t="n">
        <f aca="false">-'Academy · Drivers'!C116*SURVIVAL_ASSUMPTIONS!C27</f>
        <v>-12994.08</v>
      </c>
      <c r="G72" s="0" t="n">
        <f aca="false">-'Academy · Drivers'!C116*SURVIVAL_ASSUMPTIONS!C27</f>
        <v>-12994.08</v>
      </c>
      <c r="H72" s="0" t="n">
        <f aca="false">-'Academy · Drivers'!C116*SURVIVAL_ASSUMPTIONS!C27</f>
        <v>-12994.08</v>
      </c>
      <c r="I72" s="0" t="n">
        <f aca="false">-'Academy · Drivers'!C116*SURVIVAL_ASSUMPTIONS!C27</f>
        <v>-12994.08</v>
      </c>
      <c r="J72" s="0" t="n">
        <f aca="false">-'Academy · Drivers'!C116*SURVIVAL_ASSUMPTIONS!C27</f>
        <v>-12994.08</v>
      </c>
      <c r="K72" s="0" t="n">
        <f aca="false">-'Academy · Drivers'!C116*SURVIVAL_ASSUMPTIONS!C27</f>
        <v>-12994.08</v>
      </c>
      <c r="L72" s="0" t="n">
        <f aca="false">-'Academy · Drivers'!C116*SURVIVAL_ASSUMPTIONS!C27</f>
        <v>-12994.08</v>
      </c>
      <c r="M72" s="0" t="n">
        <f aca="false">-'Academy · Drivers'!C116*SURVIVAL_ASSUMPTIONS!C27</f>
        <v>-12994.08</v>
      </c>
      <c r="N72" s="6"/>
    </row>
    <row r="73" customFormat="false" ht="15" hidden="false" customHeight="true" outlineLevel="0" collapsed="false">
      <c r="B73" s="6" t="s">
        <v>1428</v>
      </c>
      <c r="C73" s="0" t="n">
        <f aca="false">C71+C72</f>
        <v>0</v>
      </c>
      <c r="D73" s="0" t="n">
        <f aca="false">D71+D72</f>
        <v>3087559.92288748</v>
      </c>
      <c r="E73" s="0" t="n">
        <f aca="false">E71+E72</f>
        <v>4687015.4927388</v>
      </c>
      <c r="F73" s="0" t="n">
        <f aca="false">F71+F72</f>
        <v>5280163.53622693</v>
      </c>
      <c r="G73" s="0" t="n">
        <f aca="false">G71+G72</f>
        <v>5395661.36383555</v>
      </c>
      <c r="H73" s="0" t="n">
        <f aca="false">H71+H72</f>
        <v>5627312.85064909</v>
      </c>
      <c r="I73" s="0" t="n">
        <f aca="false">I71+I72</f>
        <v>6020478.6644586</v>
      </c>
      <c r="J73" s="0" t="n">
        <f aca="false">J71+J72</f>
        <v>6250504.2012532</v>
      </c>
      <c r="K73" s="0" t="n">
        <f aca="false">K71+K72</f>
        <v>6471823.53294353</v>
      </c>
      <c r="L73" s="0" t="n">
        <f aca="false">L71+L72</f>
        <v>6666368.06133184</v>
      </c>
      <c r="M73" s="0" t="n">
        <f aca="false">M71+M72</f>
        <v>6866748.92557179</v>
      </c>
      <c r="N73" s="6"/>
    </row>
    <row r="74" customFormat="false" ht="15" hidden="false" customHeight="true" outlineLevel="0" collapsed="false">
      <c r="B74" s="6"/>
      <c r="N74" s="6"/>
    </row>
    <row r="75" customFormat="false" ht="15" hidden="false" customHeight="true" outlineLevel="0" collapsed="false">
      <c r="B75" s="6" t="s">
        <v>1429</v>
      </c>
      <c r="C75" s="142" t="n">
        <f aca="false">C28</f>
        <v>0</v>
      </c>
      <c r="D75" s="142" t="n">
        <f aca="false">D28</f>
        <v>1966316.45689182</v>
      </c>
      <c r="E75" s="142" t="n">
        <f aca="false">E28</f>
        <v>2280100.29924308</v>
      </c>
      <c r="F75" s="142" t="n">
        <f aca="false">F28</f>
        <v>2412954.0931922</v>
      </c>
      <c r="G75" s="142" t="n">
        <f aca="false">G28</f>
        <v>2461750.91931751</v>
      </c>
      <c r="H75" s="142" t="n">
        <f aca="false">H28</f>
        <v>2541639.42443594</v>
      </c>
      <c r="I75" s="142" t="n">
        <f aca="false">I28</f>
        <v>2640785.13332545</v>
      </c>
      <c r="J75" s="142" t="n">
        <f aca="false">J28</f>
        <v>2722790.62054904</v>
      </c>
      <c r="K75" s="142" t="n">
        <f aca="false">K28</f>
        <v>2804674.4366244</v>
      </c>
      <c r="L75" s="142" t="n">
        <f aca="false">L28</f>
        <v>2924214.79536814</v>
      </c>
      <c r="M75" s="142" t="n">
        <f aca="false">M28</f>
        <v>3049497.23252598</v>
      </c>
      <c r="N75" s="6"/>
    </row>
    <row r="76" customFormat="false" ht="36" hidden="false" customHeight="true" outlineLevel="0" collapsed="false">
      <c r="B76" s="6" t="s">
        <v>1430</v>
      </c>
      <c r="C76" s="0" t="n">
        <v>0</v>
      </c>
      <c r="D76" s="0" t="n">
        <f aca="false">'Academy · Drivers'!C122*SURVIVAL_ASSUMPTIONS!C16</f>
        <v>61400</v>
      </c>
      <c r="E76" s="0" t="n">
        <f aca="false">'Academy · Drivers'!C122*SURVIVAL_ASSUMPTIONS!C16</f>
        <v>61400</v>
      </c>
      <c r="F76" s="0" t="n">
        <f aca="false">'Academy · Drivers'!C122*SURVIVAL_ASSUMPTIONS!C16</f>
        <v>61400</v>
      </c>
      <c r="G76" s="0" t="n">
        <f aca="false">'Academy · Drivers'!C122*SURVIVAL_ASSUMPTIONS!C16</f>
        <v>61400</v>
      </c>
      <c r="H76" s="0" t="n">
        <f aca="false">'Academy · Drivers'!C122*SURVIVAL_ASSUMPTIONS!C16</f>
        <v>61400</v>
      </c>
      <c r="I76" s="0" t="n">
        <f aca="false">'Academy · Drivers'!C122*SURVIVAL_ASSUMPTIONS!C16</f>
        <v>61400</v>
      </c>
      <c r="J76" s="0" t="n">
        <f aca="false">'Academy · Drivers'!C122*SURVIVAL_ASSUMPTIONS!C16</f>
        <v>61400</v>
      </c>
      <c r="K76" s="0" t="n">
        <f aca="false">'Academy · Drivers'!C122*SURVIVAL_ASSUMPTIONS!C16</f>
        <v>61400</v>
      </c>
      <c r="L76" s="0" t="n">
        <f aca="false">'Academy · Drivers'!C122*SURVIVAL_ASSUMPTIONS!C16</f>
        <v>61400</v>
      </c>
      <c r="M76" s="0" t="n">
        <f aca="false">'Academy · Drivers'!C122*SURVIVAL_ASSUMPTIONS!C16</f>
        <v>61400</v>
      </c>
      <c r="N76" s="6"/>
    </row>
    <row r="77" customFormat="false" ht="15" hidden="false" customHeight="true" outlineLevel="0" collapsed="false">
      <c r="B77" s="6" t="s">
        <v>1431</v>
      </c>
      <c r="C77" s="0" t="n">
        <f aca="false">C75-C76</f>
        <v>0</v>
      </c>
      <c r="D77" s="0" t="n">
        <f aca="false">D75-D76</f>
        <v>1904916.45689182</v>
      </c>
      <c r="E77" s="0" t="n">
        <f aca="false">E75-E76</f>
        <v>2218700.29924308</v>
      </c>
      <c r="F77" s="0" t="n">
        <f aca="false">F75-F76</f>
        <v>2351554.0931922</v>
      </c>
      <c r="G77" s="0" t="n">
        <f aca="false">G75-G76</f>
        <v>2400350.91931751</v>
      </c>
      <c r="H77" s="0" t="n">
        <f aca="false">H75-H76</f>
        <v>2480239.42443594</v>
      </c>
      <c r="I77" s="0" t="n">
        <f aca="false">I75-I76</f>
        <v>2579385.13332545</v>
      </c>
      <c r="J77" s="0" t="n">
        <f aca="false">J75-J76</f>
        <v>2661390.62054904</v>
      </c>
      <c r="K77" s="0" t="n">
        <f aca="false">K75-K76</f>
        <v>2743274.4366244</v>
      </c>
      <c r="L77" s="0" t="n">
        <f aca="false">L75-L76</f>
        <v>2862814.79536814</v>
      </c>
      <c r="M77" s="0" t="n">
        <f aca="false">M75-M76</f>
        <v>2988097.23252598</v>
      </c>
      <c r="N77" s="6"/>
    </row>
    <row r="78" customFormat="false" ht="15" hidden="false" customHeight="true" outlineLevel="0" collapsed="false">
      <c r="B78" s="6"/>
      <c r="N78" s="6"/>
    </row>
    <row r="79" customFormat="false" ht="15" hidden="false" customHeight="true" outlineLevel="0" collapsed="false">
      <c r="B79" s="6" t="s">
        <v>1432</v>
      </c>
      <c r="C79" s="0" t="n">
        <f aca="false">C73-C77</f>
        <v>0</v>
      </c>
      <c r="D79" s="0" t="n">
        <f aca="false">D73-D77</f>
        <v>1182643.46599566</v>
      </c>
      <c r="E79" s="0" t="n">
        <f aca="false">E73-E77</f>
        <v>2468315.19349572</v>
      </c>
      <c r="F79" s="0" t="n">
        <f aca="false">F73-F77</f>
        <v>2928609.44303473</v>
      </c>
      <c r="G79" s="0" t="n">
        <f aca="false">G73-G77</f>
        <v>2995310.44451804</v>
      </c>
      <c r="H79" s="0" t="n">
        <f aca="false">H73-H77</f>
        <v>3147073.42621315</v>
      </c>
      <c r="I79" s="0" t="n">
        <f aca="false">I73-I77</f>
        <v>3441093.53113315</v>
      </c>
      <c r="J79" s="0" t="n">
        <f aca="false">J73-J77</f>
        <v>3589113.58070416</v>
      </c>
      <c r="K79" s="0" t="n">
        <f aca="false">K73-K77</f>
        <v>3728549.09631914</v>
      </c>
      <c r="L79" s="0" t="n">
        <f aca="false">L73-L77</f>
        <v>3803553.2659637</v>
      </c>
      <c r="M79" s="0" t="n">
        <f aca="false">M73-M77</f>
        <v>3878651.69304581</v>
      </c>
      <c r="N79" s="6"/>
    </row>
    <row r="80" customFormat="false" ht="15" hidden="false" customHeight="true" outlineLevel="0" collapsed="false">
      <c r="B80" s="6"/>
      <c r="N80" s="6"/>
    </row>
    <row r="81" customFormat="false" ht="33.75" hidden="false" customHeight="true" outlineLevel="0" collapsed="false">
      <c r="B81" s="6" t="s">
        <v>1433</v>
      </c>
      <c r="C81" s="0" t="n">
        <v>0</v>
      </c>
      <c r="D81" s="0" t="n">
        <f aca="false">D32+165000*SURVIVAL_ASSUMPTIONS!C16</f>
        <v>-1285861.55833067</v>
      </c>
      <c r="E81" s="0" t="n">
        <f aca="false">E32+165000*SURVIVAL_ASSUMPTIONS!C16</f>
        <v>-1329387.40508059</v>
      </c>
      <c r="F81" s="0" t="n">
        <f aca="false">F32+165000*SURVIVAL_ASSUMPTIONS!C16</f>
        <v>-1374219.02723301</v>
      </c>
      <c r="G81" s="0" t="n">
        <f aca="false">G32+165000*SURVIVAL_ASSUMPTIONS!C16</f>
        <v>-1420395.59805</v>
      </c>
      <c r="H81" s="0" t="n">
        <f aca="false">H32+165000*SURVIVAL_ASSUMPTIONS!C16</f>
        <v>-1467957.4659915</v>
      </c>
      <c r="I81" s="0" t="n">
        <f aca="false">I32+165000*SURVIVAL_ASSUMPTIONS!C16</f>
        <v>-1516946.18997125</v>
      </c>
      <c r="J81" s="0" t="n">
        <f aca="false">J32+165000*SURVIVAL_ASSUMPTIONS!C16</f>
        <v>-1567404.57567038</v>
      </c>
      <c r="K81" s="0" t="n">
        <f aca="false">K32+165000*SURVIVAL_ASSUMPTIONS!C16</f>
        <v>-1619376.71294049</v>
      </c>
      <c r="L81" s="0" t="n">
        <f aca="false">L32+165000*SURVIVAL_ASSUMPTIONS!C16</f>
        <v>-1672908.01432871</v>
      </c>
      <c r="M81" s="0" t="n">
        <f aca="false">M32+165000*SURVIVAL_ASSUMPTIONS!C16</f>
        <v>-1728045.25475857</v>
      </c>
      <c r="N81" s="6"/>
    </row>
    <row r="82" customFormat="false" ht="15" hidden="false" customHeight="true" outlineLevel="0" collapsed="false">
      <c r="B82" s="6" t="s">
        <v>1434</v>
      </c>
      <c r="C82" s="0" t="n">
        <f aca="false">C79+C81</f>
        <v>0</v>
      </c>
      <c r="D82" s="0" t="n">
        <f aca="false">D79+D81</f>
        <v>-103218.092335017</v>
      </c>
      <c r="E82" s="0" t="n">
        <f aca="false">E79+E81</f>
        <v>1138927.78841513</v>
      </c>
      <c r="F82" s="0" t="n">
        <f aca="false">F79+F81</f>
        <v>1554390.41580172</v>
      </c>
      <c r="G82" s="0" t="n">
        <f aca="false">G79+G81</f>
        <v>1574914.84646804</v>
      </c>
      <c r="H82" s="0" t="n">
        <f aca="false">H79+H81</f>
        <v>1679115.96022165</v>
      </c>
      <c r="I82" s="0" t="n">
        <f aca="false">I79+I81</f>
        <v>1924147.3411619</v>
      </c>
      <c r="J82" s="0" t="n">
        <f aca="false">J79+J81</f>
        <v>2021709.00503377</v>
      </c>
      <c r="K82" s="0" t="n">
        <f aca="false">K79+K81</f>
        <v>2109172.38337864</v>
      </c>
      <c r="L82" s="0" t="n">
        <f aca="false">L79+L81</f>
        <v>2130645.25163499</v>
      </c>
      <c r="M82" s="0" t="n">
        <f aca="false">M79+M81</f>
        <v>2150606.43828724</v>
      </c>
      <c r="N82" s="6"/>
    </row>
    <row r="83" customFormat="false" ht="15" hidden="false" customHeight="true" outlineLevel="0" collapsed="false">
      <c r="B83" s="6"/>
      <c r="N83" s="6"/>
    </row>
    <row r="84" customFormat="false" ht="15" hidden="false" customHeight="true" outlineLevel="0" collapsed="false">
      <c r="B84" s="6" t="s">
        <v>1435</v>
      </c>
      <c r="C84" s="249" t="n">
        <f aca="false">C36</f>
        <v>-7820000</v>
      </c>
      <c r="D84" s="0" t="n">
        <v>0</v>
      </c>
      <c r="E84" s="0" t="n">
        <v>0</v>
      </c>
      <c r="F84" s="0" t="n">
        <v>0</v>
      </c>
      <c r="G84" s="0" t="n">
        <v>0</v>
      </c>
      <c r="H84" s="0" t="n">
        <v>0</v>
      </c>
      <c r="I84" s="0" t="n">
        <v>0</v>
      </c>
      <c r="J84" s="0" t="n">
        <v>0</v>
      </c>
      <c r="K84" s="0" t="n">
        <v>0</v>
      </c>
      <c r="L84" s="0" t="n">
        <v>0</v>
      </c>
      <c r="M84" s="0" t="n">
        <v>0</v>
      </c>
      <c r="N84" s="6"/>
    </row>
    <row r="85" customFormat="false" ht="15" hidden="false" customHeight="true" outlineLevel="0" collapsed="false">
      <c r="B85" s="6" t="s">
        <v>1436</v>
      </c>
      <c r="C85" s="249" t="n">
        <f aca="false">C37</f>
        <v>0</v>
      </c>
      <c r="D85" s="249" t="n">
        <f aca="false">D37</f>
        <v>-724140</v>
      </c>
      <c r="E85" s="249" t="n">
        <f aca="false">E37</f>
        <v>-724140</v>
      </c>
      <c r="F85" s="249" t="n">
        <f aca="false">F37</f>
        <v>-724140</v>
      </c>
      <c r="G85" s="249" t="n">
        <f aca="false">G37</f>
        <v>-724140</v>
      </c>
      <c r="H85" s="249" t="n">
        <f aca="false">H37</f>
        <v>-724140</v>
      </c>
      <c r="I85" s="249" t="n">
        <f aca="false">I37</f>
        <v>-724140</v>
      </c>
      <c r="J85" s="249" t="n">
        <f aca="false">J37</f>
        <v>-724140</v>
      </c>
      <c r="K85" s="249" t="n">
        <f aca="false">K37</f>
        <v>0</v>
      </c>
      <c r="L85" s="249" t="n">
        <f aca="false">L37</f>
        <v>0</v>
      </c>
      <c r="M85" s="249" t="n">
        <f aca="false">M37</f>
        <v>0</v>
      </c>
      <c r="N85" s="6"/>
    </row>
    <row r="86" customFormat="false" ht="15" hidden="false" customHeight="true" outlineLevel="0" collapsed="false">
      <c r="B86" s="6" t="s">
        <v>1437</v>
      </c>
      <c r="C86" s="249" t="n">
        <f aca="false">C38</f>
        <v>0</v>
      </c>
      <c r="D86" s="249" t="n">
        <f aca="false">D38</f>
        <v>-500000</v>
      </c>
      <c r="E86" s="249" t="n">
        <f aca="false">E38</f>
        <v>-500000</v>
      </c>
      <c r="F86" s="249" t="n">
        <f aca="false">F38</f>
        <v>-500000</v>
      </c>
      <c r="G86" s="249" t="n">
        <f aca="false">G38</f>
        <v>0</v>
      </c>
      <c r="H86" s="249" t="n">
        <f aca="false">H38</f>
        <v>0</v>
      </c>
      <c r="I86" s="249" t="n">
        <f aca="false">I38</f>
        <v>0</v>
      </c>
      <c r="J86" s="249" t="n">
        <f aca="false">J38</f>
        <v>0</v>
      </c>
      <c r="K86" s="249" t="n">
        <f aca="false">K38</f>
        <v>0</v>
      </c>
      <c r="L86" s="249" t="n">
        <f aca="false">L38</f>
        <v>0</v>
      </c>
      <c r="M86" s="249" t="n">
        <f aca="false">M38</f>
        <v>0</v>
      </c>
      <c r="N86" s="6"/>
    </row>
    <row r="87" customFormat="false" ht="15" hidden="false" customHeight="true" outlineLevel="0" collapsed="false">
      <c r="B87" s="6" t="s">
        <v>1438</v>
      </c>
      <c r="C87" s="0" t="n">
        <v>0</v>
      </c>
      <c r="D87" s="0" t="n">
        <f aca="false">-D73*UNIVERSAL_DRIVERS!$C$32</f>
        <v>-92626.7976866243</v>
      </c>
      <c r="E87" s="0" t="n">
        <f aca="false">-E73*UNIVERSAL_DRIVERS!$C$32</f>
        <v>-140610.464782164</v>
      </c>
      <c r="F87" s="0" t="n">
        <f aca="false">-F73*UNIVERSAL_DRIVERS!$C$32</f>
        <v>-158404.906086808</v>
      </c>
      <c r="G87" s="0" t="n">
        <f aca="false">-G73*UNIVERSAL_DRIVERS!$C$32</f>
        <v>-161869.840915067</v>
      </c>
      <c r="H87" s="0" t="n">
        <f aca="false">-H73*UNIVERSAL_DRIVERS!$C$32</f>
        <v>-168819.385519473</v>
      </c>
      <c r="I87" s="0" t="n">
        <f aca="false">-I73*UNIVERSAL_DRIVERS!$C$32</f>
        <v>-180614.359933758</v>
      </c>
      <c r="J87" s="0" t="n">
        <f aca="false">-J73*UNIVERSAL_DRIVERS!$C$32</f>
        <v>-187515.126037596</v>
      </c>
      <c r="K87" s="0" t="n">
        <f aca="false">-K73*UNIVERSAL_DRIVERS!$C$32</f>
        <v>-194154.705988306</v>
      </c>
      <c r="L87" s="0" t="n">
        <f aca="false">-L73*UNIVERSAL_DRIVERS!$C$32</f>
        <v>-199991.041839955</v>
      </c>
      <c r="M87" s="0" t="n">
        <f aca="false">-M73*UNIVERSAL_DRIVERS!$C$32</f>
        <v>-206002.467767154</v>
      </c>
      <c r="N87" s="6"/>
    </row>
    <row r="88" customFormat="false" ht="15" hidden="false" customHeight="true" outlineLevel="0" collapsed="false">
      <c r="B88" s="6" t="s">
        <v>1439</v>
      </c>
      <c r="C88" s="249" t="n">
        <f aca="false">C40</f>
        <v>0</v>
      </c>
      <c r="D88" s="249" t="n">
        <f aca="false">D40</f>
        <v>-150000</v>
      </c>
      <c r="E88" s="249" t="n">
        <f aca="false">E40</f>
        <v>-150000</v>
      </c>
      <c r="F88" s="249" t="n">
        <f aca="false">F40</f>
        <v>-150000</v>
      </c>
      <c r="G88" s="249" t="n">
        <f aca="false">G40</f>
        <v>-150000</v>
      </c>
      <c r="H88" s="249" t="n">
        <f aca="false">H40</f>
        <v>-150000</v>
      </c>
      <c r="I88" s="249" t="n">
        <f aca="false">I40</f>
        <v>-150000</v>
      </c>
      <c r="J88" s="249" t="n">
        <f aca="false">J40</f>
        <v>-150000</v>
      </c>
      <c r="K88" s="249" t="n">
        <f aca="false">K40</f>
        <v>-150000</v>
      </c>
      <c r="L88" s="249" t="n">
        <f aca="false">L40</f>
        <v>-150000</v>
      </c>
      <c r="M88" s="249" t="n">
        <f aca="false">M40</f>
        <v>-150000</v>
      </c>
      <c r="N88" s="6"/>
    </row>
    <row r="89" customFormat="false" ht="15" hidden="false" customHeight="true" outlineLevel="0" collapsed="false">
      <c r="B89" s="6" t="s">
        <v>1440</v>
      </c>
      <c r="C89" s="0" t="n">
        <v>0</v>
      </c>
      <c r="D89" s="0" t="n">
        <f aca="false">-MAX(0,D82)*UNIVERSAL_DRIVERS!$C$11</f>
        <v>-0</v>
      </c>
      <c r="E89" s="0" t="n">
        <f aca="false">-MAX(0,E82)*UNIVERSAL_DRIVERS!$C$11</f>
        <v>-176533.807204345</v>
      </c>
      <c r="F89" s="0" t="n">
        <f aca="false">-MAX(0,F82)*UNIVERSAL_DRIVERS!$C$11</f>
        <v>-240930.514449267</v>
      </c>
      <c r="G89" s="0" t="n">
        <f aca="false">-MAX(0,G82)*UNIVERSAL_DRIVERS!$C$11</f>
        <v>-244111.801202546</v>
      </c>
      <c r="H89" s="0" t="n">
        <f aca="false">-MAX(0,H82)*UNIVERSAL_DRIVERS!$C$11</f>
        <v>-260262.973834356</v>
      </c>
      <c r="I89" s="0" t="n">
        <f aca="false">-MAX(0,I82)*UNIVERSAL_DRIVERS!$C$11</f>
        <v>-298242.837880095</v>
      </c>
      <c r="J89" s="0" t="n">
        <f aca="false">-MAX(0,J82)*UNIVERSAL_DRIVERS!$C$11</f>
        <v>-313364.895780235</v>
      </c>
      <c r="K89" s="0" t="n">
        <f aca="false">-MAX(0,K82)*UNIVERSAL_DRIVERS!$C$11</f>
        <v>-326921.719423689</v>
      </c>
      <c r="L89" s="0" t="n">
        <f aca="false">-MAX(0,L82)*UNIVERSAL_DRIVERS!$C$11</f>
        <v>-330250.014003423</v>
      </c>
      <c r="M89" s="0" t="n">
        <f aca="false">-MAX(0,M82)*UNIVERSAL_DRIVERS!$C$11</f>
        <v>-333343.997934523</v>
      </c>
      <c r="N89" s="6"/>
    </row>
    <row r="90" customFormat="false" ht="15" hidden="false" customHeight="true" outlineLevel="0" collapsed="false">
      <c r="B90" s="6" t="s">
        <v>1441</v>
      </c>
      <c r="C90" s="0" t="n">
        <v>0</v>
      </c>
      <c r="D90" s="0" t="n">
        <f aca="false">-D73*UNIVERSAL_DRIVERS!$C$24</f>
        <v>-61751.1984577495</v>
      </c>
      <c r="E90" s="0" t="n">
        <f aca="false">-E73*UNIVERSAL_DRIVERS!$C$24</f>
        <v>-93740.309854776</v>
      </c>
      <c r="F90" s="0" t="n">
        <f aca="false">-F73*UNIVERSAL_DRIVERS!$C$24</f>
        <v>-105603.270724539</v>
      </c>
      <c r="G90" s="0" t="n">
        <f aca="false">-G73*UNIVERSAL_DRIVERS!$C$24</f>
        <v>-107913.227276711</v>
      </c>
      <c r="H90" s="0" t="n">
        <f aca="false">-H73*UNIVERSAL_DRIVERS!$C$24</f>
        <v>-112546.257012982</v>
      </c>
      <c r="I90" s="0" t="n">
        <f aca="false">-I73*UNIVERSAL_DRIVERS!$C$24</f>
        <v>-120409.573289172</v>
      </c>
      <c r="J90" s="0" t="n">
        <f aca="false">-J73*UNIVERSAL_DRIVERS!$C$24</f>
        <v>-125010.084025064</v>
      </c>
      <c r="K90" s="0" t="n">
        <f aca="false">-K73*UNIVERSAL_DRIVERS!$C$24</f>
        <v>-129436.470658871</v>
      </c>
      <c r="L90" s="0" t="n">
        <f aca="false">-L73*UNIVERSAL_DRIVERS!$C$24</f>
        <v>-133327.361226637</v>
      </c>
      <c r="M90" s="0" t="n">
        <f aca="false">-M73*UNIVERSAL_DRIVERS!$C$24</f>
        <v>-137334.978511436</v>
      </c>
      <c r="N90" s="6"/>
    </row>
    <row r="91" customFormat="false" ht="15" hidden="false" customHeight="true" outlineLevel="0" collapsed="false">
      <c r="B91" s="6" t="s">
        <v>1442</v>
      </c>
      <c r="C91" s="249" t="n">
        <f aca="false">C84</f>
        <v>-7820000</v>
      </c>
      <c r="D91" s="0" t="n">
        <f aca="false">D82+D85+D86+D87+D88+D89+D90</f>
        <v>-1631736.08847939</v>
      </c>
      <c r="E91" s="0" t="n">
        <f aca="false">E82+E85+E86+E87+E88+E89+E90</f>
        <v>-646096.793426154</v>
      </c>
      <c r="F91" s="0" t="n">
        <f aca="false">F82+F85+F86+F87+F88+F89+F90</f>
        <v>-324688.27545889</v>
      </c>
      <c r="G91" s="0" t="n">
        <f aca="false">G82+G85+G86+G87+G88+G89+G90</f>
        <v>186879.977073716</v>
      </c>
      <c r="H91" s="0" t="n">
        <f aca="false">H82+H85+H86+H87+H88+H89+H90</f>
        <v>263347.34385484</v>
      </c>
      <c r="I91" s="0" t="n">
        <f aca="false">I82+I85+I86+I87+I88+I89+I90</f>
        <v>450740.570058879</v>
      </c>
      <c r="J91" s="0" t="n">
        <f aca="false">J82+J85+J86+J87+J88+J89+J90</f>
        <v>521678.899190879</v>
      </c>
      <c r="K91" s="0" t="n">
        <f aca="false">K82+K85+K86+K87+K88+K89+K90</f>
        <v>1308659.48730777</v>
      </c>
      <c r="L91" s="0" t="n">
        <f aca="false">L82+L85+L86+L87+L88+L89+L90</f>
        <v>1317076.83456497</v>
      </c>
      <c r="M91" s="0" t="n">
        <f aca="false">M82+M85+M86+M87+M88+M89+M90</f>
        <v>1323924.99407413</v>
      </c>
      <c r="N91" s="6"/>
    </row>
    <row r="92" customFormat="false" ht="15" hidden="false" customHeight="true" outlineLevel="0" collapsed="false">
      <c r="B92" s="6" t="s">
        <v>1443</v>
      </c>
      <c r="C92" s="249" t="n">
        <f aca="false">C91</f>
        <v>-7820000</v>
      </c>
      <c r="D92" s="0" t="n">
        <f aca="false">C92+D91</f>
        <v>-9451736.08847939</v>
      </c>
      <c r="E92" s="0" t="n">
        <f aca="false">D92+E91</f>
        <v>-10097832.8819055</v>
      </c>
      <c r="F92" s="0" t="n">
        <f aca="false">E92+F91</f>
        <v>-10422521.1573644</v>
      </c>
      <c r="G92" s="0" t="n">
        <f aca="false">F92+G91</f>
        <v>-10235641.1802907</v>
      </c>
      <c r="H92" s="0" t="n">
        <f aca="false">G92+H91</f>
        <v>-9972293.83643588</v>
      </c>
      <c r="I92" s="0" t="n">
        <f aca="false">H92+I91</f>
        <v>-9521553.266377</v>
      </c>
      <c r="J92" s="0" t="n">
        <f aca="false">I92+J91</f>
        <v>-8999874.36718612</v>
      </c>
      <c r="K92" s="0" t="n">
        <f aca="false">J92+K91</f>
        <v>-7691214.87987835</v>
      </c>
      <c r="L92" s="0" t="n">
        <f aca="false">K92+L91</f>
        <v>-6374138.04531337</v>
      </c>
      <c r="M92" s="0" t="n">
        <f aca="false">L92+M91</f>
        <v>-5050213.05123924</v>
      </c>
      <c r="N92" s="6"/>
    </row>
    <row r="93" customFormat="false" ht="15" hidden="false" customHeight="true" outlineLevel="0" collapsed="false">
      <c r="B93" s="6"/>
      <c r="N93" s="6"/>
    </row>
    <row r="94" customFormat="false" ht="15" hidden="false" customHeight="true" outlineLevel="0" collapsed="false">
      <c r="B94" s="6" t="s">
        <v>1444</v>
      </c>
      <c r="N94" s="6"/>
    </row>
    <row r="95" customFormat="false" ht="15" hidden="false" customHeight="true" outlineLevel="0" collapsed="false">
      <c r="B95" s="6" t="s">
        <v>1445</v>
      </c>
      <c r="C95" s="0" t="n">
        <f aca="false">MIN(C92:M92)</f>
        <v>-10422521.1573644</v>
      </c>
      <c r="N95" s="6"/>
    </row>
    <row r="96" customFormat="false" ht="15" hidden="false" customHeight="true" outlineLevel="0" collapsed="false">
      <c r="B96" s="6" t="s">
        <v>1446</v>
      </c>
      <c r="C96" s="0" t="str">
        <f aca="false">"Y"&amp;MATCH(MIN(C92:M92),C92:M92,0)-1</f>
        <v>Y3</v>
      </c>
      <c r="N96" s="6"/>
    </row>
    <row r="97" customFormat="false" ht="33.75" hidden="false" customHeight="true" outlineLevel="0" collapsed="false">
      <c r="B97" s="6" t="s">
        <v>1447</v>
      </c>
      <c r="C97" s="0" t="n">
        <f aca="false">MAX(0,C92-MIN(C92:M92))</f>
        <v>2602521.15736444</v>
      </c>
      <c r="N97" s="6"/>
    </row>
    <row r="98" customFormat="false" ht="15" hidden="false" customHeight="true" outlineLevel="0" collapsed="false">
      <c r="B98" s="6" t="s">
        <v>1448</v>
      </c>
      <c r="C98" s="0" t="n">
        <f aca="false">C95-C47</f>
        <v>-753643.350885045</v>
      </c>
      <c r="N98" s="6"/>
    </row>
    <row r="99" customFormat="false" ht="15" hidden="false" customHeight="true" outlineLevel="0" collapsed="false">
      <c r="B99" s="6"/>
      <c r="N99" s="6"/>
    </row>
    <row r="100" customFormat="false" ht="33.75" hidden="false" customHeight="true" outlineLevel="0" collapsed="false">
      <c r="B100" s="460" t="s">
        <v>1449</v>
      </c>
      <c r="N100" s="6"/>
    </row>
    <row r="101" customFormat="false" ht="79.5" hidden="false" customHeight="true" outlineLevel="0" collapsed="false">
      <c r="B101" s="143" t="s">
        <v>1450</v>
      </c>
      <c r="N101" s="6"/>
    </row>
    <row r="102" customFormat="false" ht="39.75" hidden="false" customHeight="true" outlineLevel="0" collapsed="false">
      <c r="B102" s="143" t="s">
        <v>1451</v>
      </c>
      <c r="N102" s="6"/>
    </row>
    <row r="103" customFormat="false" ht="15" hidden="false" customHeight="true" outlineLevel="0" collapsed="false">
      <c r="B103" s="6"/>
      <c r="N103" s="6"/>
    </row>
    <row r="104" customFormat="false" ht="36" hidden="false" customHeight="true" outlineLevel="0" collapsed="false">
      <c r="B104" s="159" t="s">
        <v>1452</v>
      </c>
      <c r="N104" s="6"/>
    </row>
    <row r="105" customFormat="false" ht="51" hidden="false" customHeight="true" outlineLevel="0" collapsed="false">
      <c r="B105" s="6" t="s">
        <v>1453</v>
      </c>
      <c r="N105" s="6"/>
    </row>
    <row r="106" customFormat="false" ht="15" hidden="false" customHeight="true" outlineLevel="0" collapsed="false">
      <c r="B106" s="6"/>
      <c r="N106" s="6"/>
    </row>
    <row r="107" customFormat="false" ht="36" hidden="false" customHeight="true" outlineLevel="0" collapsed="false">
      <c r="B107" s="6" t="s">
        <v>1454</v>
      </c>
      <c r="D107" s="0" t="n">
        <v>500000</v>
      </c>
      <c r="E107" s="0" t="n">
        <v>0</v>
      </c>
      <c r="F107" s="0" t="n">
        <v>0</v>
      </c>
      <c r="G107" s="0" t="n">
        <v>0</v>
      </c>
      <c r="H107" s="0" t="n">
        <v>0</v>
      </c>
      <c r="I107" s="0" t="n">
        <v>0</v>
      </c>
      <c r="J107" s="0" t="n">
        <v>0</v>
      </c>
      <c r="K107" s="0" t="n">
        <v>0</v>
      </c>
      <c r="L107" s="0" t="n">
        <v>0</v>
      </c>
      <c r="M107" s="0" t="n">
        <v>0</v>
      </c>
      <c r="N107" s="6" t="s">
        <v>1455</v>
      </c>
    </row>
    <row r="108" customFormat="false" ht="15" hidden="false" customHeight="true" outlineLevel="0" collapsed="false">
      <c r="B108" s="6" t="s">
        <v>1456</v>
      </c>
      <c r="D108" s="0" t="n">
        <v>1000000</v>
      </c>
      <c r="E108" s="0" t="n">
        <v>0</v>
      </c>
      <c r="F108" s="0" t="n">
        <v>0</v>
      </c>
      <c r="G108" s="0" t="n">
        <v>0</v>
      </c>
      <c r="H108" s="0" t="n">
        <v>0</v>
      </c>
      <c r="I108" s="0" t="n">
        <v>0</v>
      </c>
      <c r="J108" s="0" t="n">
        <v>0</v>
      </c>
      <c r="K108" s="0" t="n">
        <v>0</v>
      </c>
      <c r="L108" s="0" t="n">
        <v>0</v>
      </c>
      <c r="M108" s="0" t="n">
        <v>0</v>
      </c>
      <c r="N108" s="6" t="s">
        <v>1457</v>
      </c>
    </row>
    <row r="109" customFormat="false" ht="36" hidden="false" customHeight="true" outlineLevel="0" collapsed="false">
      <c r="B109" s="6" t="s">
        <v>1458</v>
      </c>
      <c r="D109" s="0" t="n">
        <v>0</v>
      </c>
      <c r="E109" s="0" t="n">
        <v>800000</v>
      </c>
      <c r="F109" s="0" t="n">
        <v>0</v>
      </c>
      <c r="G109" s="0" t="n">
        <v>0</v>
      </c>
      <c r="H109" s="0" t="n">
        <v>0</v>
      </c>
      <c r="I109" s="0" t="n">
        <v>0</v>
      </c>
      <c r="J109" s="0" t="n">
        <v>0</v>
      </c>
      <c r="K109" s="0" t="n">
        <v>0</v>
      </c>
      <c r="L109" s="0" t="n">
        <v>0</v>
      </c>
      <c r="M109" s="0" t="n">
        <v>0</v>
      </c>
      <c r="N109" s="6" t="s">
        <v>1459</v>
      </c>
    </row>
    <row r="110" customFormat="false" ht="36" hidden="false" customHeight="true" outlineLevel="0" collapsed="false">
      <c r="B110" s="6" t="s">
        <v>1460</v>
      </c>
      <c r="D110" s="0" t="n">
        <v>0</v>
      </c>
      <c r="E110" s="0" t="n">
        <v>400000</v>
      </c>
      <c r="F110" s="0" t="n">
        <v>0</v>
      </c>
      <c r="G110" s="0" t="n">
        <v>0</v>
      </c>
      <c r="H110" s="0" t="n">
        <v>0</v>
      </c>
      <c r="I110" s="0" t="n">
        <v>0</v>
      </c>
      <c r="J110" s="0" t="n">
        <v>0</v>
      </c>
      <c r="K110" s="0" t="n">
        <v>0</v>
      </c>
      <c r="L110" s="0" t="n">
        <v>0</v>
      </c>
      <c r="M110" s="0" t="n">
        <v>0</v>
      </c>
      <c r="N110" s="6" t="s">
        <v>1461</v>
      </c>
    </row>
    <row r="111" customFormat="false" ht="36" hidden="false" customHeight="true" outlineLevel="0" collapsed="false">
      <c r="B111" s="6" t="s">
        <v>1462</v>
      </c>
      <c r="D111" s="0" t="n">
        <v>0</v>
      </c>
      <c r="E111" s="0" t="n">
        <v>0</v>
      </c>
      <c r="F111" s="0" t="n">
        <v>600000</v>
      </c>
      <c r="G111" s="0" t="n">
        <v>0</v>
      </c>
      <c r="H111" s="0" t="n">
        <v>0</v>
      </c>
      <c r="I111" s="0" t="n">
        <v>0</v>
      </c>
      <c r="J111" s="0" t="n">
        <v>0</v>
      </c>
      <c r="K111" s="0" t="n">
        <v>0</v>
      </c>
      <c r="L111" s="0" t="n">
        <v>0</v>
      </c>
      <c r="M111" s="0" t="n">
        <v>0</v>
      </c>
      <c r="N111" s="6" t="s">
        <v>1463</v>
      </c>
    </row>
    <row r="112" customFormat="false" ht="36" hidden="false" customHeight="true" outlineLevel="0" collapsed="false">
      <c r="B112" s="6" t="s">
        <v>1464</v>
      </c>
      <c r="D112" s="0" t="n">
        <v>0</v>
      </c>
      <c r="E112" s="0" t="n">
        <v>300000</v>
      </c>
      <c r="F112" s="0" t="n">
        <v>0</v>
      </c>
      <c r="G112" s="0" t="n">
        <v>0</v>
      </c>
      <c r="H112" s="0" t="n">
        <v>0</v>
      </c>
      <c r="I112" s="0" t="n">
        <v>0</v>
      </c>
      <c r="J112" s="0" t="n">
        <v>0</v>
      </c>
      <c r="K112" s="0" t="n">
        <v>0</v>
      </c>
      <c r="L112" s="0" t="n">
        <v>0</v>
      </c>
      <c r="M112" s="0" t="n">
        <v>0</v>
      </c>
      <c r="N112" s="6" t="s">
        <v>1465</v>
      </c>
    </row>
    <row r="113" customFormat="false" ht="51" hidden="false" customHeight="true" outlineLevel="0" collapsed="false">
      <c r="B113" s="6" t="s">
        <v>1466</v>
      </c>
      <c r="D113" s="0" t="n">
        <v>0</v>
      </c>
      <c r="E113" s="0" t="n">
        <v>350000</v>
      </c>
      <c r="F113" s="0" t="n">
        <v>350000</v>
      </c>
      <c r="G113" s="0" t="n">
        <v>0</v>
      </c>
      <c r="H113" s="0" t="n">
        <v>0</v>
      </c>
      <c r="I113" s="0" t="n">
        <v>0</v>
      </c>
      <c r="J113" s="0" t="n">
        <v>0</v>
      </c>
      <c r="K113" s="0" t="n">
        <v>0</v>
      </c>
      <c r="L113" s="0" t="n">
        <v>0</v>
      </c>
      <c r="M113" s="0" t="n">
        <v>0</v>
      </c>
      <c r="N113" s="6" t="str">
        <f aca="false">"Reflects $"&amp;TEXT(CapEx!E56/1000000,"0.00")&amp;"M land/construction relationship — payable in Y5-Y6 from operating cash"</f>
        <v>Reflects $9.19M land/construction relationship — payable in Y5-Y6 from operating cash</v>
      </c>
    </row>
    <row r="114" customFormat="false" ht="36" hidden="false" customHeight="true" outlineLevel="0" collapsed="false">
      <c r="B114" s="6" t="s">
        <v>1467</v>
      </c>
      <c r="D114" s="0" t="n">
        <v>0</v>
      </c>
      <c r="E114" s="0" t="n">
        <v>0</v>
      </c>
      <c r="F114" s="0" t="n">
        <v>2000000</v>
      </c>
      <c r="G114" s="0" t="n">
        <v>0</v>
      </c>
      <c r="H114" s="0" t="n">
        <v>0</v>
      </c>
      <c r="I114" s="0" t="n">
        <v>0</v>
      </c>
      <c r="J114" s="0" t="n">
        <v>0</v>
      </c>
      <c r="K114" s="0" t="n">
        <v>0</v>
      </c>
      <c r="L114" s="0" t="n">
        <v>0</v>
      </c>
      <c r="M114" s="0" t="n">
        <v>0</v>
      </c>
      <c r="N114" s="6" t="s">
        <v>1468</v>
      </c>
    </row>
    <row r="115" customFormat="false" ht="15" hidden="false" customHeight="true" outlineLevel="0" collapsed="false">
      <c r="B115" s="6"/>
      <c r="N115" s="6"/>
    </row>
    <row r="116" customFormat="false" ht="15" hidden="false" customHeight="true" outlineLevel="0" collapsed="false">
      <c r="B116" s="159" t="s">
        <v>1469</v>
      </c>
      <c r="C116" s="0" t="n">
        <f aca="false">SUM(C107:C114)</f>
        <v>0</v>
      </c>
      <c r="D116" s="0" t="n">
        <f aca="false">SUM(D107:D114)</f>
        <v>1500000</v>
      </c>
      <c r="E116" s="0" t="n">
        <f aca="false">SUM(E107:E114)</f>
        <v>1850000</v>
      </c>
      <c r="F116" s="0" t="n">
        <f aca="false">SUM(F107:F114)</f>
        <v>2950000</v>
      </c>
      <c r="G116" s="0" t="n">
        <f aca="false">SUM(G107:G114)</f>
        <v>0</v>
      </c>
      <c r="H116" s="0" t="n">
        <f aca="false">SUM(H107:H114)</f>
        <v>0</v>
      </c>
      <c r="I116" s="0" t="n">
        <f aca="false">SUM(I107:I114)</f>
        <v>0</v>
      </c>
      <c r="J116" s="0" t="n">
        <f aca="false">SUM(J107:J114)</f>
        <v>0</v>
      </c>
      <c r="K116" s="0" t="n">
        <f aca="false">SUM(K107:K114)</f>
        <v>0</v>
      </c>
      <c r="L116" s="0" t="n">
        <f aca="false">SUM(L107:L114)</f>
        <v>0</v>
      </c>
      <c r="M116" s="0" t="n">
        <f aca="false">SUM(M107:M114)</f>
        <v>0</v>
      </c>
      <c r="N116" s="6"/>
    </row>
    <row r="117" customFormat="false" ht="15" hidden="false" customHeight="true" outlineLevel="0" collapsed="false">
      <c r="B117" s="159" t="s">
        <v>1470</v>
      </c>
      <c r="C117" s="0" t="n">
        <f aca="false">C116</f>
        <v>0</v>
      </c>
      <c r="D117" s="0" t="n">
        <f aca="false">C117+D116</f>
        <v>1500000</v>
      </c>
      <c r="E117" s="0" t="n">
        <f aca="false">D117+E116</f>
        <v>3350000</v>
      </c>
      <c r="F117" s="0" t="n">
        <f aca="false">E117+F116</f>
        <v>6300000</v>
      </c>
      <c r="G117" s="0" t="n">
        <f aca="false">F117+G116</f>
        <v>6300000</v>
      </c>
      <c r="H117" s="0" t="n">
        <f aca="false">G117+H116</f>
        <v>6300000</v>
      </c>
      <c r="I117" s="0" t="n">
        <f aca="false">H117+I116</f>
        <v>6300000</v>
      </c>
      <c r="J117" s="0" t="n">
        <f aca="false">I117+J116</f>
        <v>6300000</v>
      </c>
      <c r="K117" s="0" t="n">
        <f aca="false">J117+K116</f>
        <v>6300000</v>
      </c>
      <c r="L117" s="0" t="n">
        <f aca="false">K117+L116</f>
        <v>6300000</v>
      </c>
      <c r="M117" s="0" t="n">
        <f aca="false">L117+M116</f>
        <v>6300000</v>
      </c>
      <c r="N117" s="6"/>
    </row>
    <row r="118" customFormat="false" ht="15" hidden="false" customHeight="true" outlineLevel="0" collapsed="false">
      <c r="B118" s="6"/>
      <c r="N118" s="6"/>
    </row>
    <row r="119" customFormat="false" ht="36" hidden="false" customHeight="true" outlineLevel="0" collapsed="false">
      <c r="B119" s="159" t="s">
        <v>1471</v>
      </c>
      <c r="N119" s="6"/>
    </row>
    <row r="120" customFormat="false" ht="15" hidden="false" customHeight="true" outlineLevel="0" collapsed="false">
      <c r="B120" s="6" t="s">
        <v>1472</v>
      </c>
      <c r="C120" s="0" t="n">
        <v>0</v>
      </c>
      <c r="D120" s="0" t="n">
        <v>0</v>
      </c>
      <c r="E120" s="0" t="n">
        <v>-135000</v>
      </c>
      <c r="F120" s="0" t="n">
        <v>-135000</v>
      </c>
      <c r="G120" s="0" t="n">
        <v>-135000</v>
      </c>
      <c r="H120" s="0" t="n">
        <v>-135000</v>
      </c>
      <c r="I120" s="0" t="n">
        <v>-135000</v>
      </c>
      <c r="J120" s="0" t="n">
        <v>-135000</v>
      </c>
      <c r="K120" s="0" t="n">
        <v>-135000</v>
      </c>
      <c r="L120" s="0" t="n">
        <v>-135000</v>
      </c>
      <c r="M120" s="0" t="n">
        <v>-135000</v>
      </c>
      <c r="N120" s="6"/>
    </row>
    <row r="121" customFormat="false" ht="36" hidden="false" customHeight="true" outlineLevel="0" collapsed="false">
      <c r="B121" s="6" t="s">
        <v>1473</v>
      </c>
      <c r="C121" s="0" t="n">
        <v>0</v>
      </c>
      <c r="D121" s="0" t="n">
        <v>0</v>
      </c>
      <c r="E121" s="0" t="n">
        <v>0</v>
      </c>
      <c r="F121" s="0" t="n">
        <v>-166667</v>
      </c>
      <c r="G121" s="0" t="n">
        <v>-166667</v>
      </c>
      <c r="H121" s="0" t="n">
        <v>-166667</v>
      </c>
      <c r="I121" s="0" t="n">
        <v>0</v>
      </c>
      <c r="J121" s="0" t="n">
        <v>0</v>
      </c>
      <c r="K121" s="0" t="n">
        <v>0</v>
      </c>
      <c r="L121" s="0" t="n">
        <v>0</v>
      </c>
      <c r="M121" s="0" t="n">
        <v>0</v>
      </c>
      <c r="N121" s="6"/>
    </row>
    <row r="122" customFormat="false" ht="33.75" hidden="false" customHeight="true" outlineLevel="0" collapsed="false">
      <c r="B122" s="6" t="s">
        <v>1474</v>
      </c>
      <c r="C122" s="0" t="n">
        <v>0</v>
      </c>
      <c r="D122" s="0" t="n">
        <v>0</v>
      </c>
      <c r="E122" s="0" t="n">
        <v>0</v>
      </c>
      <c r="F122" s="0" t="n">
        <v>-200000</v>
      </c>
      <c r="G122" s="0" t="n">
        <v>-200000</v>
      </c>
      <c r="H122" s="0" t="n">
        <v>-200000</v>
      </c>
      <c r="I122" s="0" t="n">
        <v>-200000</v>
      </c>
      <c r="J122" s="0" t="n">
        <v>-200000</v>
      </c>
      <c r="K122" s="0" t="n">
        <v>0</v>
      </c>
      <c r="L122" s="0" t="n">
        <v>0</v>
      </c>
      <c r="M122" s="0" t="n">
        <v>0</v>
      </c>
      <c r="N122" s="6"/>
    </row>
    <row r="123" customFormat="false" ht="15" hidden="false" customHeight="true" outlineLevel="0" collapsed="false">
      <c r="B123" s="6" t="s">
        <v>1475</v>
      </c>
      <c r="C123" s="0" t="n">
        <v>0</v>
      </c>
      <c r="D123" s="0" t="n">
        <v>0</v>
      </c>
      <c r="E123" s="0" t="n">
        <v>0</v>
      </c>
      <c r="F123" s="0" t="n">
        <v>0</v>
      </c>
      <c r="G123" s="0" t="n">
        <v>0</v>
      </c>
      <c r="H123" s="0" t="n">
        <v>-350000</v>
      </c>
      <c r="I123" s="0" t="n">
        <v>-350000</v>
      </c>
      <c r="J123" s="0" t="n">
        <v>0</v>
      </c>
      <c r="K123" s="0" t="n">
        <v>0</v>
      </c>
      <c r="L123" s="0" t="n">
        <v>0</v>
      </c>
      <c r="M123" s="0" t="n">
        <v>0</v>
      </c>
      <c r="N123" s="6"/>
    </row>
    <row r="124" customFormat="false" ht="15" hidden="false" customHeight="true" outlineLevel="0" collapsed="false">
      <c r="B124" s="159" t="s">
        <v>1476</v>
      </c>
      <c r="C124" s="0" t="n">
        <f aca="false">SUM(C120:C123)</f>
        <v>0</v>
      </c>
      <c r="D124" s="0" t="n">
        <f aca="false">SUM(D120:D123)</f>
        <v>0</v>
      </c>
      <c r="E124" s="0" t="n">
        <f aca="false">SUM(E120:E123)</f>
        <v>-135000</v>
      </c>
      <c r="F124" s="0" t="n">
        <f aca="false">SUM(F120:F123)</f>
        <v>-501667</v>
      </c>
      <c r="G124" s="0" t="n">
        <f aca="false">SUM(G120:G123)</f>
        <v>-501667</v>
      </c>
      <c r="H124" s="0" t="n">
        <f aca="false">SUM(H120:H123)</f>
        <v>-851667</v>
      </c>
      <c r="I124" s="0" t="n">
        <f aca="false">SUM(I120:I123)</f>
        <v>-685000</v>
      </c>
      <c r="J124" s="0" t="n">
        <f aca="false">SUM(J120:J123)</f>
        <v>-335000</v>
      </c>
      <c r="K124" s="0" t="n">
        <f aca="false">SUM(K120:K123)</f>
        <v>-135000</v>
      </c>
      <c r="L124" s="0" t="n">
        <f aca="false">SUM(L120:L123)</f>
        <v>-135000</v>
      </c>
      <c r="M124" s="0" t="n">
        <f aca="false">SUM(M120:M123)</f>
        <v>-135000</v>
      </c>
      <c r="N124" s="6"/>
    </row>
    <row r="125" customFormat="false" ht="15" hidden="false" customHeight="true" outlineLevel="0" collapsed="false">
      <c r="B125" s="6"/>
      <c r="N125" s="6"/>
    </row>
    <row r="126" customFormat="false" ht="36" hidden="false" customHeight="true" outlineLevel="0" collapsed="false">
      <c r="B126" s="159" t="s">
        <v>1477</v>
      </c>
      <c r="C126" s="0" t="n">
        <f aca="false">C91+C116+C124</f>
        <v>-7820000</v>
      </c>
      <c r="D126" s="0" t="n">
        <f aca="false">D91+D116+D124</f>
        <v>-131736.088479391</v>
      </c>
      <c r="E126" s="0" t="n">
        <f aca="false">E91+E116+E124</f>
        <v>1068903.20657385</v>
      </c>
      <c r="F126" s="0" t="n">
        <f aca="false">F91+F116+F124</f>
        <v>2123644.72454111</v>
      </c>
      <c r="G126" s="0" t="n">
        <f aca="false">G91+G116+G124</f>
        <v>-314787.022926284</v>
      </c>
      <c r="H126" s="0" t="n">
        <f aca="false">H91+H116+H124</f>
        <v>-588319.65614516</v>
      </c>
      <c r="I126" s="0" t="n">
        <f aca="false">I91+I116+I124</f>
        <v>-234259.429941121</v>
      </c>
      <c r="J126" s="0" t="n">
        <f aca="false">J91+J116+J124</f>
        <v>186678.899190879</v>
      </c>
      <c r="K126" s="0" t="n">
        <f aca="false">K91+K116+K124</f>
        <v>1173659.48730777</v>
      </c>
      <c r="L126" s="0" t="n">
        <f aca="false">L91+L116+L124</f>
        <v>1182076.83456497</v>
      </c>
      <c r="M126" s="0" t="n">
        <f aca="false">M91+M116+M124</f>
        <v>1188924.99407413</v>
      </c>
      <c r="N126" s="6"/>
    </row>
    <row r="127" customFormat="false" ht="15" hidden="false" customHeight="true" outlineLevel="0" collapsed="false">
      <c r="B127" s="159" t="s">
        <v>1478</v>
      </c>
      <c r="C127" s="0" t="n">
        <f aca="false">C126</f>
        <v>-7820000</v>
      </c>
      <c r="D127" s="0" t="n">
        <f aca="false">C127+D126</f>
        <v>-7951736.08847939</v>
      </c>
      <c r="E127" s="0" t="n">
        <f aca="false">D127+E126</f>
        <v>-6882832.88190555</v>
      </c>
      <c r="F127" s="0" t="n">
        <f aca="false">E127+F126</f>
        <v>-4759188.15736444</v>
      </c>
      <c r="G127" s="0" t="n">
        <f aca="false">F127+G126</f>
        <v>-5073975.18029072</v>
      </c>
      <c r="H127" s="0" t="n">
        <f aca="false">G127+H126</f>
        <v>-5662294.83643588</v>
      </c>
      <c r="I127" s="0" t="n">
        <f aca="false">H127+I126</f>
        <v>-5896554.266377</v>
      </c>
      <c r="J127" s="0" t="n">
        <f aca="false">I127+J126</f>
        <v>-5709875.36718612</v>
      </c>
      <c r="K127" s="0" t="n">
        <f aca="false">J127+K126</f>
        <v>-4536215.87987835</v>
      </c>
      <c r="L127" s="0" t="n">
        <f aca="false">K127+L126</f>
        <v>-3354139.04531337</v>
      </c>
      <c r="M127" s="0" t="n">
        <f aca="false">L127+M126</f>
        <v>-2165214.05123924</v>
      </c>
      <c r="N127" s="6"/>
    </row>
    <row r="128" customFormat="false" ht="15" hidden="false" customHeight="true" outlineLevel="0" collapsed="false">
      <c r="B128" s="6"/>
      <c r="N128" s="6"/>
    </row>
    <row r="129" customFormat="false" ht="36" hidden="false" customHeight="true" outlineLevel="0" collapsed="false">
      <c r="B129" s="159" t="s">
        <v>1479</v>
      </c>
      <c r="N129" s="6"/>
    </row>
    <row r="130" customFormat="false" ht="15" hidden="false" customHeight="true" outlineLevel="0" collapsed="false">
      <c r="B130" s="6" t="s">
        <v>1480</v>
      </c>
      <c r="C130" s="0" t="n">
        <f aca="false">M117</f>
        <v>6300000</v>
      </c>
      <c r="N130" s="6"/>
    </row>
    <row r="131" customFormat="false" ht="15" hidden="false" customHeight="true" outlineLevel="0" collapsed="false">
      <c r="B131" s="6" t="s">
        <v>1481</v>
      </c>
      <c r="C131" s="0" t="n">
        <f aca="false">MIN(C127:M127)</f>
        <v>-7951736.08847939</v>
      </c>
      <c r="N131" s="6"/>
    </row>
    <row r="132" customFormat="false" ht="15" hidden="false" customHeight="true" outlineLevel="0" collapsed="false">
      <c r="B132" s="6" t="s">
        <v>1482</v>
      </c>
      <c r="C132" s="0" t="n">
        <f aca="false">M127</f>
        <v>-2165214.05123924</v>
      </c>
      <c r="N132" s="6"/>
    </row>
    <row r="133" customFormat="false" ht="33.75" hidden="false" customHeight="true" outlineLevel="0" collapsed="false">
      <c r="B133" s="6" t="s">
        <v>1483</v>
      </c>
      <c r="C133" s="0" t="n">
        <f aca="false">C131-C95</f>
        <v>2470785.06888505</v>
      </c>
      <c r="N133" s="6"/>
    </row>
    <row r="134" customFormat="false" ht="15" hidden="false" customHeight="true" outlineLevel="0" collapsed="false">
      <c r="B134" s="6" t="s">
        <v>1484</v>
      </c>
      <c r="C134" s="0" t="n">
        <f aca="false">C131-C47</f>
        <v>1717141.718</v>
      </c>
      <c r="N134" s="6"/>
    </row>
    <row r="135" customFormat="false" ht="36" hidden="false" customHeight="true" outlineLevel="0" collapsed="false">
      <c r="B135" s="6" t="s">
        <v>1485</v>
      </c>
      <c r="C135" s="0" t="n">
        <f aca="false">MAX(0,-C131-7222000-M117)</f>
        <v>0</v>
      </c>
      <c r="N135" s="6"/>
    </row>
    <row r="136" customFormat="false" ht="15" hidden="false" customHeight="true" outlineLevel="0" collapsed="false">
      <c r="B136" s="6"/>
      <c r="N136" s="6"/>
    </row>
    <row r="137" customFormat="false" ht="36" hidden="false" customHeight="true" outlineLevel="0" collapsed="false">
      <c r="B137" s="159" t="s">
        <v>1486</v>
      </c>
      <c r="N137" s="6"/>
    </row>
    <row r="138" customFormat="false" ht="51" hidden="false" customHeight="true" outlineLevel="0" collapsed="false">
      <c r="B138" s="6" t="s">
        <v>1487</v>
      </c>
      <c r="N138" s="6"/>
    </row>
    <row r="139" customFormat="false" ht="36" hidden="false" customHeight="true" outlineLevel="0" collapsed="false">
      <c r="B139" s="6" t="s">
        <v>1488</v>
      </c>
      <c r="N139" s="6"/>
    </row>
    <row r="140" customFormat="false" ht="36" hidden="false" customHeight="true" outlineLevel="0" collapsed="false">
      <c r="B140" s="6" t="s">
        <v>1489</v>
      </c>
      <c r="N140" s="6"/>
    </row>
    <row r="141" customFormat="false" ht="51" hidden="false" customHeight="true" outlineLevel="0" collapsed="false">
      <c r="B141" s="6" t="s">
        <v>1490</v>
      </c>
      <c r="N141" s="6"/>
    </row>
    <row r="142" customFormat="false" ht="51" hidden="false" customHeight="true" outlineLevel="0" collapsed="false">
      <c r="B142" s="6" t="s">
        <v>1491</v>
      </c>
      <c r="N142" s="6"/>
    </row>
    <row r="143" customFormat="false" ht="66" hidden="false" customHeight="true" outlineLevel="0" collapsed="false">
      <c r="B143" s="6" t="s">
        <v>1492</v>
      </c>
      <c r="N143" s="6"/>
    </row>
    <row r="146" customFormat="false" ht="21.75" hidden="false" customHeight="true" outlineLevel="0" collapsed="false">
      <c r="B146" s="139" t="s">
        <v>1493</v>
      </c>
      <c r="C146" s="139"/>
      <c r="D146" s="139"/>
      <c r="E146" s="139"/>
      <c r="F146" s="139"/>
      <c r="G146" s="139"/>
      <c r="H146" s="139"/>
    </row>
    <row r="148" customFormat="false" ht="15" hidden="false" customHeight="false" outlineLevel="0" collapsed="false">
      <c r="B148" s="188" t="s">
        <v>206</v>
      </c>
      <c r="C148" s="188" t="s">
        <v>393</v>
      </c>
      <c r="D148" s="188" t="s">
        <v>1494</v>
      </c>
    </row>
    <row r="149" customFormat="false" ht="19.5" hidden="false" customHeight="true" outlineLevel="0" collapsed="false">
      <c r="B149" s="0" t="s">
        <v>1495</v>
      </c>
      <c r="C149" s="461" t="n">
        <f aca="false">F16</f>
        <v>5293157.61622693</v>
      </c>
      <c r="D149" s="143" t="s">
        <v>1496</v>
      </c>
    </row>
    <row r="150" customFormat="false" ht="19.5" hidden="false" customHeight="true" outlineLevel="0" collapsed="false">
      <c r="B150" s="0" t="s">
        <v>1497</v>
      </c>
      <c r="C150" s="461" t="n">
        <f aca="false">F33</f>
        <v>1340984.49580172</v>
      </c>
      <c r="D150" s="143" t="s">
        <v>1498</v>
      </c>
    </row>
    <row r="151" customFormat="false" ht="19.5" hidden="false" customHeight="true" outlineLevel="0" collapsed="false">
      <c r="B151" s="0" t="s">
        <v>1499</v>
      </c>
      <c r="C151" s="461" t="n">
        <f aca="false">MASTER_ASSUMPTIONS!$C$13</f>
        <v>7820000</v>
      </c>
      <c r="D151" s="143" t="s">
        <v>1500</v>
      </c>
    </row>
    <row r="152" customFormat="false" ht="19.5" hidden="false" customHeight="true" outlineLevel="0" collapsed="false">
      <c r="B152" s="0" t="s">
        <v>1501</v>
      </c>
      <c r="C152" s="461" t="n">
        <f aca="false">1485000</f>
        <v>1485000</v>
      </c>
      <c r="D152" s="143" t="s">
        <v>1502</v>
      </c>
    </row>
    <row r="153" customFormat="false" ht="19.5" hidden="false" customHeight="true" outlineLevel="0" collapsed="false">
      <c r="B153" s="0" t="s">
        <v>1503</v>
      </c>
      <c r="C153" s="461" t="n">
        <f aca="false">F33*16</f>
        <v>21455751.9328276</v>
      </c>
      <c r="D153" s="143" t="s">
        <v>1504</v>
      </c>
    </row>
    <row r="154" customFormat="false" ht="19.5" hidden="false" customHeight="true" outlineLevel="0" collapsed="false">
      <c r="B154" s="0" t="s">
        <v>1505</v>
      </c>
      <c r="C154" s="461" t="n">
        <f aca="false">F33*16*MASTER_ASSUMPTIONS!$C$15</f>
        <v>9655088.24630581</v>
      </c>
      <c r="D154" s="143" t="s">
        <v>1506</v>
      </c>
    </row>
    <row r="155" customFormat="false" ht="19.5" hidden="false" customHeight="true" outlineLevel="0" collapsed="false">
      <c r="B155" s="0" t="s">
        <v>1507</v>
      </c>
      <c r="C155" s="461" t="n">
        <f aca="false">1485000+F33*16*MASTER_ASSUMPTIONS!$C$15</f>
        <v>11140088.2463058</v>
      </c>
      <c r="D155" s="143" t="s">
        <v>1508</v>
      </c>
    </row>
    <row r="156" customFormat="false" ht="19.5" hidden="false" customHeight="true" outlineLevel="0" collapsed="false">
      <c r="B156" s="462" t="s">
        <v>1509</v>
      </c>
      <c r="C156" s="463" t="n">
        <f aca="false">(1485000+F33*16*MASTER_ASSUMPTIONS!$C$15)/MASTER_ASSUMPTIONS!$C$13</f>
        <v>1.42456371436136</v>
      </c>
      <c r="D156" s="464" t="s">
        <v>1510</v>
      </c>
    </row>
    <row r="157" customFormat="false" ht="19.5" hidden="false" customHeight="true" outlineLevel="0" collapsed="false">
      <c r="B157" s="0" t="s">
        <v>1511</v>
      </c>
      <c r="C157" s="461" t="n">
        <f aca="false">ABS(D44)-MASTER_ASSUMPTIONS!$C$13</f>
        <v>1848877.80647939</v>
      </c>
      <c r="D157" s="143" t="s">
        <v>1512</v>
      </c>
    </row>
    <row r="158" customFormat="false" ht="19.5" hidden="false" customHeight="true" outlineLevel="0" collapsed="false">
      <c r="B158" s="0" t="s">
        <v>1513</v>
      </c>
      <c r="C158" s="461" t="n">
        <f aca="false">6300000</f>
        <v>6300000</v>
      </c>
      <c r="D158" s="143" t="s">
        <v>1514</v>
      </c>
    </row>
    <row r="159" customFormat="false" ht="19.5" hidden="false" customHeight="true" outlineLevel="0" collapsed="false">
      <c r="B159" s="462" t="s">
        <v>1515</v>
      </c>
      <c r="C159" s="465" t="n">
        <f aca="false">6300000-(ABS(D44)-MASTER_ASSUMPTIONS!$C$13)</f>
        <v>4451122.19352061</v>
      </c>
      <c r="D159" s="464" t="s">
        <v>1516</v>
      </c>
    </row>
    <row r="161" customFormat="false" ht="49.5" hidden="false" customHeight="true" outlineLevel="0" collapsed="false">
      <c r="B161" s="154" t="s">
        <v>1517</v>
      </c>
      <c r="C161" s="154"/>
      <c r="D161" s="154"/>
      <c r="E161" s="154"/>
      <c r="F161" s="154"/>
      <c r="G161" s="154"/>
      <c r="H161" s="154"/>
    </row>
  </sheetData>
  <mergeCells count="8">
    <mergeCell ref="B6:M6"/>
    <mergeCell ref="B18:M18"/>
    <mergeCell ref="B30:M30"/>
    <mergeCell ref="B35:M35"/>
    <mergeCell ref="B46:M46"/>
    <mergeCell ref="B55:M55"/>
    <mergeCell ref="B146:H146"/>
    <mergeCell ref="B161:H16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7875</v>
      </c>
      <c r="C2" s="878"/>
      <c r="D2" s="878"/>
      <c r="E2" s="878"/>
      <c r="F2" s="878"/>
      <c r="G2" s="89" t="s">
        <v>3432</v>
      </c>
      <c r="H2" s="89"/>
      <c r="I2" s="89"/>
      <c r="J2" s="89"/>
    </row>
    <row r="3" customFormat="false" ht="33.75" hidden="false" customHeight="true" outlineLevel="0" collapsed="false">
      <c r="B3" s="90" t="s">
        <v>7876</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7877</v>
      </c>
      <c r="C5" s="575"/>
      <c r="D5" s="575"/>
      <c r="E5" s="575"/>
      <c r="F5" s="575"/>
      <c r="G5" s="575"/>
      <c r="H5" s="575"/>
    </row>
    <row r="6" customFormat="false" ht="18" hidden="false" customHeight="true" outlineLevel="0" collapsed="false">
      <c r="B6" s="113" t="s">
        <v>7878</v>
      </c>
      <c r="C6" s="1282" t="n">
        <f aca="false">'F&amp;B · Drivers'!C54</f>
        <v>45112.8</v>
      </c>
      <c r="D6" s="565" t="s">
        <v>7879</v>
      </c>
      <c r="E6" s="6"/>
    </row>
    <row r="7" customFormat="false" ht="33.75" hidden="false" customHeight="true" outlineLevel="0" collapsed="false">
      <c r="B7" s="126" t="s">
        <v>7880</v>
      </c>
      <c r="C7" s="1438" t="n">
        <f aca="false">'F&amp;B · Revenue'!E29/C6</f>
        <v>17.5053266478693</v>
      </c>
      <c r="D7" s="565" t="s">
        <v>7881</v>
      </c>
      <c r="E7" s="6"/>
    </row>
    <row r="8" customFormat="false" ht="18" hidden="false" customHeight="true" outlineLevel="0" collapsed="false">
      <c r="B8" s="113" t="s">
        <v>7882</v>
      </c>
      <c r="C8" s="1438" t="n">
        <f aca="false">'F&amp;B · Costs'!C30/C6</f>
        <v>12.8443318969339</v>
      </c>
      <c r="D8" s="565" t="s">
        <v>7883</v>
      </c>
      <c r="E8" s="6"/>
    </row>
    <row r="9" customFormat="false" ht="18" hidden="false" customHeight="true" outlineLevel="0" collapsed="false">
      <c r="B9" s="81" t="s">
        <v>7884</v>
      </c>
      <c r="C9" s="1439" t="n">
        <f aca="false">C7-C8</f>
        <v>4.66099475093543</v>
      </c>
      <c r="D9" s="565" t="s">
        <v>7885</v>
      </c>
      <c r="E9" s="6"/>
    </row>
    <row r="10" customFormat="false" ht="18" hidden="false" customHeight="true" outlineLevel="0" collapsed="false">
      <c r="B10" s="1471" t="s">
        <v>7886</v>
      </c>
      <c r="C10" s="1438" t="n">
        <f aca="false">('F&amp;B · Revenue'!E10+'F&amp;B · Revenue'!E16+'F&amp;B · Revenue'!E21+'F&amp;B · Revenue'!E26)/'F&amp;B · Drivers'!C54</f>
        <v>14.6378477948609</v>
      </c>
      <c r="D10" s="565" t="s">
        <v>7887</v>
      </c>
      <c r="E10" s="6"/>
    </row>
    <row r="11" customFormat="false" ht="21.75" hidden="false" customHeight="true" outlineLevel="0" collapsed="false">
      <c r="B11" s="575" t="s">
        <v>7155</v>
      </c>
      <c r="C11" s="575"/>
      <c r="D11" s="575"/>
      <c r="E11" s="575"/>
      <c r="F11" s="575"/>
      <c r="G11" s="575"/>
      <c r="H11" s="575"/>
    </row>
    <row r="12" customFormat="false" ht="15" hidden="false" customHeight="true" outlineLevel="0" collapsed="false">
      <c r="B12" s="113" t="s">
        <v>7888</v>
      </c>
      <c r="C12" s="1156" t="n">
        <f aca="false">('F&amp;B · Revenue'!E10-'F&amp;B · Costs'!C7)/'F&amp;B · Revenue'!E10</f>
        <v>0.68</v>
      </c>
      <c r="D12" s="565" t="s">
        <v>7889</v>
      </c>
      <c r="E12" s="6"/>
    </row>
    <row r="13" customFormat="false" ht="15" hidden="false" customHeight="true" outlineLevel="0" collapsed="false">
      <c r="B13" s="113" t="s">
        <v>7890</v>
      </c>
      <c r="C13" s="1156" t="n">
        <f aca="false">('F&amp;B · Revenue'!E16-'F&amp;B · Costs'!C8)/'F&amp;B · Revenue'!E16</f>
        <v>0.65</v>
      </c>
      <c r="E13" s="6"/>
    </row>
    <row r="14" customFormat="false" ht="15" hidden="false" customHeight="true" outlineLevel="0" collapsed="false">
      <c r="B14" s="113" t="s">
        <v>7891</v>
      </c>
      <c r="C14" s="1156" t="n">
        <f aca="false">('F&amp;B · Revenue'!E21-'F&amp;B · Costs'!C9)/'F&amp;B · Revenue'!E21</f>
        <v>0.7</v>
      </c>
      <c r="E14" s="6"/>
    </row>
    <row r="15" customFormat="false" ht="15" hidden="false" customHeight="true" outlineLevel="0" collapsed="false">
      <c r="B15" s="113" t="s">
        <v>7892</v>
      </c>
      <c r="C15" s="1156" t="n">
        <f aca="false">('F&amp;B · Revenue'!E26-'F&amp;B · Costs'!C10)/'F&amp;B · Revenue'!E26</f>
        <v>0.67</v>
      </c>
      <c r="E15" s="6"/>
    </row>
    <row r="16" customFormat="false" ht="18" hidden="false" customHeight="true" outlineLevel="0" collapsed="false">
      <c r="B16" s="1472" t="s">
        <v>7893</v>
      </c>
      <c r="C16" s="1438" t="n">
        <f aca="false">'F&amp;B · Drivers'!C119</f>
        <v>11</v>
      </c>
      <c r="D16" s="565" t="s">
        <v>7894</v>
      </c>
      <c r="E16" s="6"/>
    </row>
    <row r="17" customFormat="false" ht="33.75" hidden="false" customHeight="true" outlineLevel="0" collapsed="false">
      <c r="B17" s="96" t="s">
        <v>7895</v>
      </c>
      <c r="C17" s="96"/>
      <c r="D17" s="96"/>
      <c r="E17" s="96"/>
      <c r="F17" s="96"/>
      <c r="G17" s="96"/>
      <c r="H17" s="96"/>
    </row>
    <row r="18" customFormat="false" ht="18" hidden="false" customHeight="true" outlineLevel="0" collapsed="false">
      <c r="B18" s="113" t="s">
        <v>7896</v>
      </c>
      <c r="C18" s="1438" t="n">
        <f aca="false">'F&amp;B · Revenue'!E7/'F&amp;B · Drivers'!C26</f>
        <v>1.36</v>
      </c>
      <c r="D18" s="565" t="s">
        <v>7897</v>
      </c>
      <c r="E18" s="6"/>
    </row>
    <row r="19" customFormat="false" ht="18" hidden="false" customHeight="true" outlineLevel="0" collapsed="false">
      <c r="B19" s="126" t="s">
        <v>7898</v>
      </c>
      <c r="C19" s="1438" t="n">
        <f aca="false">'F&amp;B · Revenue'!E9/'F&amp;B · Drivers'!C27</f>
        <v>0.125</v>
      </c>
      <c r="D19" s="565" t="s">
        <v>7899</v>
      </c>
      <c r="E19" s="6"/>
    </row>
    <row r="20" customFormat="false" ht="18" hidden="false" customHeight="true" outlineLevel="0" collapsed="false">
      <c r="B20" s="126" t="s">
        <v>7900</v>
      </c>
      <c r="C20" s="406" t="n">
        <f aca="false">'F&amp;B · Revenue'!E8/'F&amp;B · Drivers'!C28</f>
        <v>105.84</v>
      </c>
      <c r="D20" s="565" t="s">
        <v>7901</v>
      </c>
      <c r="E20" s="6"/>
    </row>
    <row r="21" customFormat="false" ht="18" hidden="false" customHeight="true" outlineLevel="0" collapsed="false">
      <c r="B21" s="113" t="s">
        <v>7902</v>
      </c>
      <c r="C21" s="1438" t="n">
        <f aca="false">'F&amp;B · Revenue'!E20/'F&amp;B · Drivers'!C29</f>
        <v>7.2</v>
      </c>
      <c r="D21" s="565" t="s">
        <v>7903</v>
      </c>
      <c r="E21" s="6"/>
    </row>
    <row r="22" customFormat="false" ht="15" hidden="false" customHeight="true" outlineLevel="0" collapsed="false">
      <c r="B22" s="6"/>
      <c r="E22" s="6"/>
    </row>
    <row r="23" customFormat="false" ht="21.75" hidden="false" customHeight="true" outlineLevel="0" collapsed="false">
      <c r="B23" s="575" t="s">
        <v>5037</v>
      </c>
      <c r="C23" s="575"/>
      <c r="D23" s="575"/>
      <c r="E23" s="575"/>
      <c r="F23" s="575"/>
      <c r="G23" s="575"/>
      <c r="H23" s="575"/>
    </row>
    <row r="24" customFormat="false" ht="18" hidden="false" customHeight="true" outlineLevel="0" collapsed="false">
      <c r="B24" s="81" t="s">
        <v>5038</v>
      </c>
      <c r="C24" s="1390" t="n">
        <f aca="false">'F&amp;B · Revenue'!E29</f>
        <v>789714.3</v>
      </c>
      <c r="D24" s="565" t="s">
        <v>7904</v>
      </c>
      <c r="E24" s="6"/>
    </row>
    <row r="25" customFormat="false" ht="18" hidden="false" customHeight="true" outlineLevel="0" collapsed="false">
      <c r="B25" s="113" t="s">
        <v>4973</v>
      </c>
      <c r="C25" s="406" t="n">
        <f aca="false">'F&amp;B · Costs'!C30</f>
        <v>579443.776</v>
      </c>
      <c r="D25" s="565" t="s">
        <v>7905</v>
      </c>
      <c r="E25" s="6"/>
    </row>
    <row r="26" customFormat="false" ht="18" hidden="false" customHeight="true" outlineLevel="0" collapsed="false">
      <c r="B26" s="1076" t="s">
        <v>6671</v>
      </c>
      <c r="C26" s="1390" t="n">
        <f aca="false">'F&amp;B · Costs'!C43</f>
        <v>210270.524</v>
      </c>
      <c r="D26" s="565" t="s">
        <v>7175</v>
      </c>
      <c r="E26" s="6"/>
    </row>
    <row r="27" customFormat="false" ht="18" hidden="false" customHeight="true" outlineLevel="0" collapsed="false">
      <c r="B27" s="81" t="s">
        <v>4095</v>
      </c>
      <c r="C27" s="1393" t="n">
        <f aca="false">C26/C24</f>
        <v>0.266261512549538</v>
      </c>
      <c r="D27" s="565" t="s">
        <v>7906</v>
      </c>
      <c r="E27" s="6"/>
    </row>
  </sheetData>
  <mergeCells count="7">
    <mergeCell ref="B2:F2"/>
    <mergeCell ref="G2:J2"/>
    <mergeCell ref="B3:J3"/>
    <mergeCell ref="B5:H5"/>
    <mergeCell ref="B11:H11"/>
    <mergeCell ref="B17:H17"/>
    <mergeCell ref="B23:H2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7907</v>
      </c>
      <c r="C3" s="90"/>
      <c r="D3" s="90"/>
      <c r="E3" s="90"/>
      <c r="F3" s="90"/>
      <c r="G3" s="90"/>
      <c r="H3" s="90"/>
      <c r="I3" s="90"/>
      <c r="J3" s="90"/>
    </row>
    <row r="4" customFormat="false" ht="15" hidden="false" customHeight="true" outlineLevel="0" collapsed="false">
      <c r="B4" s="6"/>
      <c r="E4" s="6"/>
    </row>
    <row r="5" customFormat="false" ht="33.75" hidden="false" customHeight="true" outlineLevel="0" collapsed="false">
      <c r="B5" s="96" t="s">
        <v>5050</v>
      </c>
      <c r="C5" s="96"/>
      <c r="D5" s="96"/>
      <c r="E5" s="96"/>
      <c r="F5" s="96"/>
      <c r="G5" s="96"/>
      <c r="H5" s="96"/>
    </row>
    <row r="6" customFormat="false" ht="15" hidden="false" customHeight="true" outlineLevel="0" collapsed="false">
      <c r="B6" s="6"/>
      <c r="E6" s="6"/>
    </row>
    <row r="7" customFormat="false" ht="18" hidden="false" customHeight="true" outlineLevel="0" collapsed="false">
      <c r="B7" s="113" t="s">
        <v>4971</v>
      </c>
      <c r="C7" s="1299" t="n">
        <f aca="false">'F&amp;B · Costs'!C33</f>
        <v>288106.768</v>
      </c>
      <c r="D7" s="565" t="s">
        <v>7178</v>
      </c>
      <c r="E7" s="6"/>
    </row>
    <row r="8" customFormat="false" ht="18" hidden="false" customHeight="true" outlineLevel="0" collapsed="false">
      <c r="B8" s="126" t="s">
        <v>4959</v>
      </c>
      <c r="C8" s="1300" t="n">
        <f aca="false">'F&amp;B · Costs'!C36</f>
        <v>0.368914439057264</v>
      </c>
      <c r="D8" s="565" t="s">
        <v>7179</v>
      </c>
      <c r="E8" s="6"/>
    </row>
    <row r="9" customFormat="false" ht="18" hidden="false" customHeight="true" outlineLevel="0" collapsed="false">
      <c r="B9" s="113" t="s">
        <v>5054</v>
      </c>
      <c r="C9" s="1300" t="n">
        <f aca="false">1-C8</f>
        <v>0.631085560942736</v>
      </c>
      <c r="D9" s="565" t="s">
        <v>5055</v>
      </c>
      <c r="E9" s="6"/>
    </row>
    <row r="10" customFormat="false" ht="15" hidden="false" customHeight="true" outlineLevel="0" collapsed="false">
      <c r="B10" s="6"/>
      <c r="E10" s="6"/>
    </row>
    <row r="11" customFormat="false" ht="18" hidden="false" customHeight="true" outlineLevel="0" collapsed="false">
      <c r="B11" s="81" t="s">
        <v>5056</v>
      </c>
      <c r="C11" s="406" t="n">
        <f aca="false">C7/C9</f>
        <v>456525.684995259</v>
      </c>
      <c r="D11" s="565" t="s">
        <v>5057</v>
      </c>
      <c r="E11" s="6"/>
    </row>
    <row r="12" customFormat="false" ht="18" hidden="false" customHeight="true" outlineLevel="0" collapsed="false">
      <c r="B12" s="113" t="s">
        <v>5058</v>
      </c>
      <c r="C12" s="1299" t="n">
        <f aca="false">'F&amp;B · Revenue'!E29</f>
        <v>789714.3</v>
      </c>
      <c r="D12" s="565" t="s">
        <v>6657</v>
      </c>
      <c r="E12" s="6"/>
    </row>
    <row r="13" customFormat="false" ht="18" hidden="false" customHeight="true" outlineLevel="0" collapsed="false">
      <c r="B13" s="113" t="s">
        <v>5060</v>
      </c>
      <c r="C13" s="1300" t="n">
        <f aca="false">C12/C11-1</f>
        <v>0.729835419902389</v>
      </c>
      <c r="D13" s="565" t="s">
        <v>6675</v>
      </c>
      <c r="E13" s="6"/>
    </row>
    <row r="14" customFormat="false" ht="15" hidden="false" customHeight="true" outlineLevel="0" collapsed="false">
      <c r="B14" s="6"/>
      <c r="E14" s="6"/>
    </row>
    <row r="15" customFormat="false" ht="21.75" hidden="false" customHeight="true" outlineLevel="0" collapsed="false">
      <c r="B15" s="575" t="s">
        <v>7908</v>
      </c>
      <c r="C15" s="575"/>
      <c r="D15" s="575"/>
      <c r="E15" s="575"/>
      <c r="F15" s="575"/>
      <c r="G15" s="575"/>
      <c r="H15" s="575"/>
    </row>
    <row r="16" customFormat="false" ht="18" hidden="false" customHeight="true" outlineLevel="0" collapsed="false">
      <c r="B16" s="113" t="s">
        <v>7909</v>
      </c>
      <c r="C16" s="1440" t="n">
        <f aca="false">'F&amp;B · Unit Economics'!C7</f>
        <v>17.5053266478693</v>
      </c>
      <c r="D16" s="565" t="s">
        <v>5063</v>
      </c>
      <c r="E16" s="6"/>
    </row>
    <row r="17" customFormat="false" ht="18" hidden="false" customHeight="true" outlineLevel="0" collapsed="false">
      <c r="B17" s="81" t="s">
        <v>7910</v>
      </c>
      <c r="C17" s="1282" t="n">
        <f aca="false">C11/C16</f>
        <v>26079.2440026148</v>
      </c>
      <c r="D17" s="565" t="s">
        <v>7911</v>
      </c>
      <c r="E17" s="6"/>
    </row>
    <row r="18" customFormat="false" ht="18" hidden="false" customHeight="true" outlineLevel="0" collapsed="false">
      <c r="B18" s="113" t="s">
        <v>7912</v>
      </c>
      <c r="C18" s="1441" t="n">
        <f aca="false">'F&amp;B · Drivers'!C54</f>
        <v>45112.8</v>
      </c>
      <c r="D18" s="565" t="s">
        <v>6657</v>
      </c>
      <c r="E18" s="6"/>
    </row>
    <row r="19" customFormat="false" ht="18" hidden="false" customHeight="true" outlineLevel="0" collapsed="false">
      <c r="B19" s="1076" t="s">
        <v>7913</v>
      </c>
      <c r="C19" s="1282" t="n">
        <f aca="false">C18-C17</f>
        <v>19033.5559973852</v>
      </c>
      <c r="D19" s="565" t="s">
        <v>7189</v>
      </c>
      <c r="E19" s="6"/>
    </row>
    <row r="20" customFormat="false" ht="15" hidden="false" customHeight="true" outlineLevel="0" collapsed="false">
      <c r="B20" s="6"/>
      <c r="E20" s="6"/>
    </row>
    <row r="21" customFormat="false" ht="48.75" hidden="false" customHeight="true" outlineLevel="0" collapsed="false">
      <c r="B21" s="1394" t="s">
        <v>7190</v>
      </c>
      <c r="C21" s="1394"/>
      <c r="D21" s="1394"/>
      <c r="E21" s="6"/>
    </row>
  </sheetData>
  <mergeCells count="6">
    <mergeCell ref="B2:F2"/>
    <mergeCell ref="G2:J2"/>
    <mergeCell ref="B3:J3"/>
    <mergeCell ref="B5:H5"/>
    <mergeCell ref="B15:H15"/>
    <mergeCell ref="B21:D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0"/>
    <col collapsed="false" customWidth="true" hidden="false" outlineLevel="0" max="11" min="7" style="0" width="12"/>
  </cols>
  <sheetData>
    <row r="1" customFormat="false" ht="3.75" hidden="false" customHeight="true" outlineLevel="0" collapsed="false">
      <c r="B1" s="1"/>
      <c r="C1" s="2"/>
      <c r="D1" s="2"/>
      <c r="E1" s="2"/>
      <c r="F1" s="1"/>
    </row>
    <row r="2" customFormat="false" ht="27.75" hidden="false" customHeight="true" outlineLevel="0" collapsed="false">
      <c r="B2" s="15" t="s">
        <v>7914</v>
      </c>
      <c r="C2" s="15"/>
      <c r="D2" s="15"/>
      <c r="E2" s="15"/>
      <c r="F2" s="15"/>
    </row>
    <row r="3" customFormat="false" ht="18" hidden="false" customHeight="true" outlineLevel="0" collapsed="false">
      <c r="B3" s="90" t="s">
        <v>5071</v>
      </c>
      <c r="C3" s="90"/>
      <c r="D3" s="90"/>
      <c r="E3" s="90"/>
      <c r="F3" s="90"/>
    </row>
    <row r="4" customFormat="false" ht="15" hidden="false" customHeight="true" outlineLevel="0" collapsed="false">
      <c r="B4" s="6"/>
      <c r="F4" s="6"/>
    </row>
    <row r="5" customFormat="false" ht="33.75" hidden="false" customHeight="true" outlineLevel="0" collapsed="false">
      <c r="B5" s="96" t="s">
        <v>5072</v>
      </c>
      <c r="C5" s="96"/>
      <c r="D5" s="96"/>
      <c r="E5" s="96"/>
      <c r="F5" s="96"/>
    </row>
    <row r="6" customFormat="false" ht="21.75" hidden="false" customHeight="true" outlineLevel="0" collapsed="false">
      <c r="B6" s="97" t="s">
        <v>206</v>
      </c>
      <c r="C6" s="98" t="s">
        <v>5073</v>
      </c>
      <c r="D6" s="98" t="s">
        <v>5074</v>
      </c>
      <c r="E6" s="98" t="s">
        <v>5075</v>
      </c>
      <c r="F6" s="99" t="s">
        <v>778</v>
      </c>
    </row>
    <row r="7" customFormat="false" ht="18" hidden="false" customHeight="true" outlineLevel="0" collapsed="false">
      <c r="B7" s="113" t="s">
        <v>7915</v>
      </c>
      <c r="C7" s="480" t="n">
        <v>316</v>
      </c>
      <c r="D7" s="1303" t="n">
        <v>600</v>
      </c>
      <c r="E7" s="564" t="n">
        <f aca="false">C7/D7</f>
        <v>0.526666666666667</v>
      </c>
      <c r="F7" s="128" t="s">
        <v>7916</v>
      </c>
    </row>
    <row r="8" customFormat="false" ht="18" hidden="false" customHeight="true" outlineLevel="0" collapsed="false">
      <c r="B8" s="113" t="s">
        <v>5080</v>
      </c>
      <c r="C8" s="480" t="n">
        <v>350</v>
      </c>
      <c r="D8" s="1303" t="n">
        <v>365</v>
      </c>
      <c r="E8" s="564" t="n">
        <f aca="false">C8/D8</f>
        <v>0.958904109589041</v>
      </c>
      <c r="F8" s="128" t="s">
        <v>7917</v>
      </c>
    </row>
    <row r="9" customFormat="false" ht="18" hidden="false" customHeight="true" outlineLevel="0" collapsed="false">
      <c r="B9" s="113" t="s">
        <v>4379</v>
      </c>
      <c r="C9" s="480" t="n">
        <v>14</v>
      </c>
      <c r="D9" s="1303" t="n">
        <v>18</v>
      </c>
      <c r="E9" s="564" t="n">
        <f aca="false">C9/D9</f>
        <v>0.777777777777778</v>
      </c>
      <c r="F9" s="128" t="s">
        <v>7918</v>
      </c>
    </row>
    <row r="10" customFormat="false" ht="18" hidden="false" customHeight="true" outlineLevel="0" collapsed="false">
      <c r="B10" s="113" t="s">
        <v>3273</v>
      </c>
      <c r="C10" s="480" t="n">
        <v>16</v>
      </c>
      <c r="D10" s="1303" t="n">
        <v>25</v>
      </c>
      <c r="E10" s="564" t="n">
        <f aca="false">C10/D10</f>
        <v>0.64</v>
      </c>
      <c r="F10" s="128" t="s">
        <v>7919</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row>
    <row r="13" customFormat="false" ht="21.75" hidden="false" customHeight="true" outlineLevel="0" collapsed="false">
      <c r="B13" s="97" t="s">
        <v>738</v>
      </c>
      <c r="C13" s="98" t="s">
        <v>1306</v>
      </c>
      <c r="D13" s="98" t="s">
        <v>5084</v>
      </c>
      <c r="E13" s="98" t="s">
        <v>5085</v>
      </c>
      <c r="F13" s="99" t="s">
        <v>225</v>
      </c>
    </row>
    <row r="14" customFormat="false" ht="18" hidden="false" customHeight="true" outlineLevel="0" collapsed="false">
      <c r="B14" s="113" t="s">
        <v>5086</v>
      </c>
      <c r="C14" s="733" t="n">
        <v>1</v>
      </c>
      <c r="D14" s="1291" t="n">
        <f aca="false">'F&amp;B · Costs'!C41*1</f>
        <v>789714.3</v>
      </c>
      <c r="E14" s="720" t="n">
        <f aca="false">('F&amp;B · Costs'!C41*1)-'F&amp;B · Costs'!C41</f>
        <v>0</v>
      </c>
      <c r="F14" s="128" t="s">
        <v>5087</v>
      </c>
    </row>
    <row r="15" customFormat="false" ht="18" hidden="false" customHeight="true" outlineLevel="0" collapsed="false">
      <c r="B15" s="113" t="s">
        <v>5088</v>
      </c>
      <c r="C15" s="733" t="n">
        <v>1.25</v>
      </c>
      <c r="D15" s="577" t="n">
        <f aca="false">'F&amp;B · Costs'!C41*1.25</f>
        <v>987142.875</v>
      </c>
      <c r="E15" s="648" t="n">
        <f aca="false">('F&amp;B · Costs'!C41*1.25)-'F&amp;B · Costs'!C41</f>
        <v>197428.575</v>
      </c>
      <c r="F15" s="128" t="s">
        <v>5089</v>
      </c>
    </row>
    <row r="16" customFormat="false" ht="18" hidden="false" customHeight="true" outlineLevel="0" collapsed="false">
      <c r="B16" s="113" t="s">
        <v>5090</v>
      </c>
      <c r="C16" s="733" t="n">
        <v>1.5</v>
      </c>
      <c r="D16" s="577" t="n">
        <f aca="false">'F&amp;B · Costs'!C41*1.5</f>
        <v>1184571.45</v>
      </c>
      <c r="E16" s="648" t="n">
        <f aca="false">('F&amp;B · Costs'!C41*1.5)-'F&amp;B · Costs'!C41</f>
        <v>394857.15</v>
      </c>
      <c r="F16" s="128" t="s">
        <v>5091</v>
      </c>
    </row>
    <row r="17" customFormat="false" ht="18" hidden="false" customHeight="true" outlineLevel="0" collapsed="false">
      <c r="B17" s="113" t="s">
        <v>5092</v>
      </c>
      <c r="C17" s="733" t="n">
        <v>2</v>
      </c>
      <c r="D17" s="577" t="n">
        <f aca="false">'F&amp;B · Costs'!C41*2</f>
        <v>1579428.6</v>
      </c>
      <c r="E17" s="648" t="n">
        <f aca="false">('F&amp;B · Costs'!C41*2)-'F&amp;B · Costs'!C41</f>
        <v>789714.3</v>
      </c>
      <c r="F17" s="128" t="s">
        <v>5093</v>
      </c>
    </row>
  </sheetData>
  <mergeCells count="4">
    <mergeCell ref="B2:F2"/>
    <mergeCell ref="B3:F3"/>
    <mergeCell ref="B5:F5"/>
    <mergeCell ref="B12:F12"/>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9"/>
    <col collapsed="false" customWidth="true" hidden="false" outlineLevel="0" max="11" min="7" style="0" width="12"/>
  </cols>
  <sheetData>
    <row r="1" customFormat="false" ht="3.75" hidden="false" customHeight="true" outlineLevel="0" collapsed="false">
      <c r="B1" s="1"/>
      <c r="C1" s="2"/>
      <c r="D1" s="2"/>
      <c r="E1" s="2"/>
      <c r="F1" s="6"/>
    </row>
    <row r="2" customFormat="false" ht="27.75" hidden="false" customHeight="true" outlineLevel="0" collapsed="false">
      <c r="B2" s="15" t="s">
        <v>7920</v>
      </c>
      <c r="C2" s="15"/>
      <c r="D2" s="15"/>
      <c r="E2" s="15"/>
      <c r="F2" s="6"/>
    </row>
    <row r="3" customFormat="false" ht="33.75" hidden="false" customHeight="true" outlineLevel="0" collapsed="false">
      <c r="B3" s="90" t="s">
        <v>7921</v>
      </c>
      <c r="C3" s="90"/>
      <c r="D3" s="90"/>
      <c r="E3" s="90"/>
      <c r="F3" s="6"/>
    </row>
    <row r="4" customFormat="false" ht="15" hidden="false" customHeight="true" outlineLevel="0" collapsed="false">
      <c r="B4" s="6"/>
      <c r="F4" s="6"/>
    </row>
    <row r="5" customFormat="false" ht="21.75" hidden="false" customHeight="true" outlineLevel="0" collapsed="false">
      <c r="B5" s="575" t="s">
        <v>7922</v>
      </c>
      <c r="C5" s="575"/>
      <c r="D5" s="575"/>
      <c r="E5" s="575"/>
      <c r="F5" s="6"/>
    </row>
    <row r="6" customFormat="false" ht="21.75" hidden="false" customHeight="true" outlineLevel="0" collapsed="false">
      <c r="B6" s="97" t="s">
        <v>3507</v>
      </c>
      <c r="C6" s="98" t="s">
        <v>4263</v>
      </c>
      <c r="D6" s="98" t="s">
        <v>2255</v>
      </c>
      <c r="E6" s="98" t="s">
        <v>2930</v>
      </c>
      <c r="F6" s="6"/>
    </row>
    <row r="7" customFormat="false" ht="18" hidden="false" customHeight="true" outlineLevel="0" collapsed="false">
      <c r="B7" s="1324" t="s">
        <v>7923</v>
      </c>
      <c r="C7" s="1473" t="n">
        <f aca="false">'F&amp;B · Costs'!C41/95000</f>
        <v>8.31278210526316</v>
      </c>
      <c r="D7" s="1474" t="s">
        <v>4269</v>
      </c>
      <c r="E7" s="1475" t="s">
        <v>4270</v>
      </c>
      <c r="F7" s="6"/>
    </row>
    <row r="8" customFormat="false" ht="18" hidden="false" customHeight="true" outlineLevel="0" collapsed="false">
      <c r="B8" s="1324" t="s">
        <v>7924</v>
      </c>
      <c r="C8" s="1473" t="n">
        <f aca="false">95000/300</f>
        <v>316.666666666667</v>
      </c>
      <c r="D8" s="1474" t="s">
        <v>4269</v>
      </c>
      <c r="E8" s="1475" t="s">
        <v>4270</v>
      </c>
      <c r="F8" s="6"/>
    </row>
    <row r="9" customFormat="false" ht="18" hidden="false" customHeight="true" outlineLevel="0" collapsed="false">
      <c r="B9" s="1324" t="s">
        <v>7925</v>
      </c>
      <c r="C9" s="1473" t="n">
        <f aca="false">'F&amp;B · Costs'!C48*-1/'F&amp;B · Costs'!C41</f>
        <v>0.261876194973296</v>
      </c>
      <c r="D9" s="1474" t="s">
        <v>4269</v>
      </c>
      <c r="E9" s="1475" t="s">
        <v>4270</v>
      </c>
      <c r="F9" s="6"/>
    </row>
    <row r="10" customFormat="false" ht="18" hidden="false" customHeight="true" outlineLevel="0" collapsed="false">
      <c r="B10" s="1324" t="s">
        <v>7926</v>
      </c>
      <c r="C10" s="1476" t="n">
        <f aca="false">'F&amp;B · Costs'!C53</f>
        <v>0.266261512549538</v>
      </c>
      <c r="D10" s="1474" t="s">
        <v>4269</v>
      </c>
      <c r="E10" s="1475" t="s">
        <v>4270</v>
      </c>
      <c r="F10" s="6"/>
    </row>
    <row r="11" customFormat="false" ht="18" hidden="false" customHeight="true" outlineLevel="0" collapsed="false">
      <c r="B11" s="1324" t="s">
        <v>7927</v>
      </c>
      <c r="C11" s="1476" t="n">
        <f aca="false">'F&amp;B · Revenue'!D38</f>
        <v>0.163806075184405</v>
      </c>
      <c r="D11" s="1474" t="s">
        <v>4269</v>
      </c>
      <c r="E11" s="1475" t="s">
        <v>4287</v>
      </c>
      <c r="F11" s="6"/>
    </row>
    <row r="12" customFormat="false" ht="18" hidden="false" customHeight="true" outlineLevel="0" collapsed="false">
      <c r="B12" s="1324" t="s">
        <v>5080</v>
      </c>
      <c r="C12" s="1477" t="n">
        <v>350</v>
      </c>
      <c r="D12" s="1474" t="s">
        <v>4269</v>
      </c>
      <c r="E12" s="1475" t="s">
        <v>4287</v>
      </c>
      <c r="F12" s="6"/>
    </row>
    <row r="13" customFormat="false" ht="18" hidden="false" customHeight="true" outlineLevel="0" collapsed="false">
      <c r="B13" s="1324" t="s">
        <v>4379</v>
      </c>
      <c r="C13" s="1478" t="n">
        <v>14</v>
      </c>
      <c r="D13" s="1474" t="s">
        <v>4269</v>
      </c>
      <c r="E13" s="1475" t="s">
        <v>4287</v>
      </c>
      <c r="F13" s="6"/>
    </row>
    <row r="14" customFormat="false" ht="15" hidden="false" customHeight="true" outlineLevel="0" collapsed="false">
      <c r="B14" s="6"/>
      <c r="F14" s="6"/>
    </row>
    <row r="15" customFormat="false" ht="21.75" hidden="false" customHeight="true" outlineLevel="0" collapsed="false">
      <c r="B15" s="575" t="s">
        <v>7928</v>
      </c>
      <c r="C15" s="575"/>
      <c r="D15" s="575"/>
      <c r="E15" s="575"/>
      <c r="F15" s="6"/>
    </row>
    <row r="16" customFormat="false" ht="21.75" hidden="false" customHeight="true" outlineLevel="0" collapsed="false">
      <c r="B16" s="97" t="s">
        <v>3507</v>
      </c>
      <c r="C16" s="98" t="s">
        <v>4263</v>
      </c>
      <c r="D16" s="98" t="s">
        <v>2255</v>
      </c>
      <c r="E16" s="98" t="s">
        <v>2930</v>
      </c>
      <c r="F16" s="6"/>
    </row>
    <row r="17" customFormat="false" ht="18" hidden="false" customHeight="true" outlineLevel="0" collapsed="false">
      <c r="B17" s="113" t="s">
        <v>5122</v>
      </c>
      <c r="C17" s="1479" t="n">
        <v>50</v>
      </c>
      <c r="D17" s="430" t="s">
        <v>4301</v>
      </c>
      <c r="E17" s="1421" t="s">
        <v>4302</v>
      </c>
      <c r="F17" s="6"/>
    </row>
    <row r="18" customFormat="false" ht="18" hidden="false" customHeight="true" outlineLevel="0" collapsed="false">
      <c r="B18" s="113" t="s">
        <v>7929</v>
      </c>
      <c r="C18" s="1448" t="n">
        <v>0.4</v>
      </c>
      <c r="D18" s="430" t="s">
        <v>7930</v>
      </c>
      <c r="E18" s="1421" t="s">
        <v>4287</v>
      </c>
      <c r="F18" s="6"/>
    </row>
    <row r="19" customFormat="false" ht="18" hidden="false" customHeight="true" outlineLevel="0" collapsed="false">
      <c r="B19" s="113" t="s">
        <v>5125</v>
      </c>
      <c r="C19" s="1479" t="n">
        <v>4.5</v>
      </c>
      <c r="D19" s="430" t="s">
        <v>7931</v>
      </c>
      <c r="E19" s="1421" t="s">
        <v>4287</v>
      </c>
      <c r="F19" s="6"/>
    </row>
    <row r="20" customFormat="false" ht="18" hidden="false" customHeight="true" outlineLevel="0" collapsed="false">
      <c r="B20" s="113" t="s">
        <v>7932</v>
      </c>
      <c r="C20" s="1448" t="n">
        <v>0.02</v>
      </c>
      <c r="D20" s="430" t="s">
        <v>7933</v>
      </c>
      <c r="E20" s="1421" t="s">
        <v>4270</v>
      </c>
      <c r="F20" s="6"/>
    </row>
    <row r="21" customFormat="false" ht="18" hidden="false" customHeight="true" outlineLevel="0" collapsed="false">
      <c r="B21" s="113" t="s">
        <v>7934</v>
      </c>
      <c r="C21" s="1448" t="n">
        <v>0.15</v>
      </c>
      <c r="D21" s="430" t="s">
        <v>7935</v>
      </c>
      <c r="E21" s="1421" t="s">
        <v>4302</v>
      </c>
      <c r="F21" s="6"/>
    </row>
  </sheetData>
  <mergeCells count="4">
    <mergeCell ref="B2:E2"/>
    <mergeCell ref="B3:E3"/>
    <mergeCell ref="B5:E5"/>
    <mergeCell ref="B15:E15"/>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917" t="s">
        <v>4334</v>
      </c>
      <c r="C2" s="917"/>
      <c r="D2" s="917"/>
      <c r="E2" s="917"/>
      <c r="F2" s="917"/>
      <c r="G2" s="89" t="s">
        <v>3432</v>
      </c>
      <c r="H2" s="89"/>
      <c r="I2" s="89"/>
      <c r="J2" s="89"/>
    </row>
    <row r="3" customFormat="false" ht="18" hidden="false" customHeight="true" outlineLevel="0" collapsed="false">
      <c r="B3" s="90" t="s">
        <v>6753</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7936</v>
      </c>
      <c r="C7" s="598" t="n">
        <f aca="false">'F&amp;B · Drivers'!C26*'F&amp;B · Drivers'!C7*'F&amp;B · Drivers'!C8 + 'F&amp;B · Drivers'!C28*'F&amp;B · Drivers'!C10*'F&amp;B · Drivers'!C11*'F&amp;B · Drivers'!C12*12 + 'F&amp;B · Drivers'!C27*0.25*'F&amp;B · Drivers'!C9 + 'F&amp;B · Drivers'!C98*'F&amp;B · Drivers'!C99*'F&amp;B · Drivers'!C100 + 'F&amp;B · Drivers'!C133</f>
        <v>269709.079752</v>
      </c>
      <c r="D7" s="544" t="n">
        <f aca="false">'F&amp;B · Drivers'!C26*'F&amp;B · Drivers'!D7*'F&amp;B · Drivers'!D8 + 'F&amp;B · Drivers'!C28*'F&amp;B · Drivers'!D10*'F&amp;B · Drivers'!D11*'F&amp;B · Drivers'!D12*12 + 'F&amp;B · Drivers'!C27*0.25*'F&amp;B · Drivers'!D9 + 'F&amp;B · Drivers'!D98*'F&amp;B · Drivers'!D99*'F&amp;B · Drivers'!D100 + 'F&amp;B · Drivers'!C133</f>
        <v>382554.3</v>
      </c>
      <c r="E7" s="1311" t="n">
        <f aca="false">'F&amp;B · Drivers'!C26*'F&amp;B · Drivers'!E7*'F&amp;B · Drivers'!E8 + 'F&amp;B · Drivers'!C28*'F&amp;B · Drivers'!E10*'F&amp;B · Drivers'!E11*'F&amp;B · Drivers'!E12*12 + 'F&amp;B · Drivers'!C27*0.25*'F&amp;B · Drivers'!E9 + 'F&amp;B · Drivers'!E98*'F&amp;B · Drivers'!E99*'F&amp;B · Drivers'!E100 + 'F&amp;B · Drivers'!C133</f>
        <v>883723.8228</v>
      </c>
      <c r="F7" s="692" t="n">
        <f aca="false">E7/C7</f>
        <v>3.27658165462057</v>
      </c>
    </row>
    <row r="8" customFormat="false" ht="15" hidden="false" customHeight="true" outlineLevel="0" collapsed="false">
      <c r="B8" s="113" t="s">
        <v>7937</v>
      </c>
      <c r="C8" s="598" t="n">
        <f aca="false">'F&amp;B · Drivers'!C16*'F&amp;B · Drivers'!C17*12 + 'F&amp;B · Drivers'!C18*'F&amp;B · Drivers'!C19*12</f>
        <v>18696</v>
      </c>
      <c r="D8" s="544" t="n">
        <f aca="false">'F&amp;B · Drivers'!D16*'F&amp;B · Drivers'!D17*12 + 'F&amp;B · Drivers'!D18*'F&amp;B · Drivers'!D19*12</f>
        <v>13800</v>
      </c>
      <c r="E8" s="1311" t="n">
        <f aca="false">'F&amp;B · Drivers'!E16*'F&amp;B · Drivers'!E17*12 + 'F&amp;B · Drivers'!E18*'F&amp;B · Drivers'!E19*12</f>
        <v>16698</v>
      </c>
      <c r="F8" s="692" t="n">
        <f aca="false">E8/C8</f>
        <v>0.893132220795892</v>
      </c>
    </row>
    <row r="9" customFormat="false" ht="15" hidden="false" customHeight="true" outlineLevel="0" collapsed="false">
      <c r="B9" s="113" t="s">
        <v>7576</v>
      </c>
      <c r="C9" s="598" t="n">
        <f aca="false">'F&amp;B · Drivers'!C29*'F&amp;B · Drivers'!C13*'F&amp;B · Drivers'!C14 + 'F&amp;B · Drivers'!C109*'F&amp;B · Drivers'!C110*'F&amp;B · Drivers'!C111</f>
        <v>169207.2</v>
      </c>
      <c r="D9" s="544" t="n">
        <f aca="false">'F&amp;B · Drivers'!C29*'F&amp;B · Drivers'!D13*'F&amp;B · Drivers'!D14 + 'F&amp;B · Drivers'!D109*'F&amp;B · Drivers'!D110*'F&amp;B · Drivers'!D111</f>
        <v>252000</v>
      </c>
      <c r="E9" s="1311" t="n">
        <f aca="false">'F&amp;B · Drivers'!C29*'F&amp;B · Drivers'!E13*'F&amp;B · Drivers'!E14 + 'F&amp;B · Drivers'!E109*'F&amp;B · Drivers'!E110*'F&amp;B · Drivers'!E111</f>
        <v>373896</v>
      </c>
      <c r="F9" s="692" t="n">
        <f aca="false">E9/C9</f>
        <v>2.20969320454449</v>
      </c>
    </row>
    <row r="10" customFormat="false" ht="15" hidden="false" customHeight="true" outlineLevel="0" collapsed="false">
      <c r="B10" s="113" t="s">
        <v>7578</v>
      </c>
      <c r="C10" s="598" t="n">
        <f aca="false">'F&amp;B · Drivers'!C21*'F&amp;B · Drivers'!C22*'F&amp;B · Drivers'!C23*12</f>
        <v>9840</v>
      </c>
      <c r="D10" s="544" t="n">
        <f aca="false">'F&amp;B · Drivers'!D21*'F&amp;B · Drivers'!D22*'F&amp;B · Drivers'!D23*12</f>
        <v>12000</v>
      </c>
      <c r="E10" s="1311" t="n">
        <f aca="false">'F&amp;B · Drivers'!E21*'F&amp;B · Drivers'!E22*'F&amp;B · Drivers'!E23*12</f>
        <v>15972</v>
      </c>
      <c r="F10" s="692" t="n">
        <f aca="false">E10/C10</f>
        <v>1.62317073170732</v>
      </c>
    </row>
    <row r="11" customFormat="false" ht="15" hidden="false" customHeight="true" outlineLevel="0" collapsed="false">
      <c r="B11" s="113" t="s">
        <v>7739</v>
      </c>
      <c r="C11" s="1371" t="n">
        <f aca="false">C7+C8+C9+C10+'F&amp;B · Drivers'!C103*'F&amp;B · Drivers'!C104*'F&amp;B · Drivers'!C105*(1-'F&amp;B · Drivers'!C106)</f>
        <v>568252.279752</v>
      </c>
      <c r="D11" s="406" t="n">
        <f aca="false">D7+D8+D9+D10+'F&amp;B · Drivers'!D103*'F&amp;B · Drivers'!D104*'F&amp;B · Drivers'!D105*(1-'F&amp;B · Drivers'!D106)</f>
        <v>789714.3</v>
      </c>
      <c r="E11" s="1402" t="n">
        <f aca="false">E7+E8+E9+E10+'F&amp;B · Drivers'!E103*'F&amp;B · Drivers'!E104*'F&amp;B · Drivers'!E105*(1-'F&amp;B · Drivers'!E106)</f>
        <v>1772914.8228</v>
      </c>
      <c r="F11" s="692" t="n">
        <f aca="false">E11/C11</f>
        <v>3.11994317660062</v>
      </c>
    </row>
    <row r="12" customFormat="false" ht="15" hidden="false" customHeight="true" outlineLevel="0" collapsed="false">
      <c r="B12" s="971" t="s">
        <v>7938</v>
      </c>
      <c r="C12" s="1375" t="n">
        <f aca="false">'F&amp;B · Drivers'!C103*'F&amp;B · Drivers'!C104*'F&amp;B · Drivers'!C105*(1-'F&amp;B · Drivers'!C106)</f>
        <v>100800</v>
      </c>
      <c r="D12" s="1480" t="n">
        <f aca="false">'F&amp;B · Drivers'!D103*'F&amp;B · Drivers'!D104*'F&amp;B · Drivers'!D105*(1-'F&amp;B · Drivers'!D106)</f>
        <v>129360</v>
      </c>
      <c r="E12" s="1481" t="n">
        <f aca="false">'F&amp;B · Drivers'!E103*'F&amp;B · Drivers'!E104*'F&amp;B · Drivers'!E105*(1-'F&amp;B · Drivers'!E106)</f>
        <v>482625</v>
      </c>
      <c r="F12" s="6"/>
    </row>
    <row r="13" customFormat="false" ht="15" hidden="false" customHeight="true" outlineLevel="0" collapsed="false">
      <c r="B13" s="6"/>
      <c r="F13" s="6"/>
    </row>
    <row r="14" customFormat="false" ht="21.75" hidden="false" customHeight="true" outlineLevel="0" collapsed="false">
      <c r="B14" s="96" t="s">
        <v>2447</v>
      </c>
      <c r="C14" s="96"/>
      <c r="D14" s="96"/>
      <c r="E14" s="96"/>
      <c r="F14" s="96"/>
      <c r="G14" s="96"/>
      <c r="H14" s="96"/>
    </row>
    <row r="15" customFormat="false" ht="15" hidden="false" customHeight="true" outlineLevel="0" collapsed="false">
      <c r="B15" s="97" t="s">
        <v>738</v>
      </c>
      <c r="C15" s="98" t="s">
        <v>962</v>
      </c>
      <c r="D15" s="98" t="s">
        <v>207</v>
      </c>
      <c r="E15" s="98" t="s">
        <v>2448</v>
      </c>
      <c r="F15" s="6"/>
    </row>
    <row r="16" customFormat="false" ht="15" hidden="false" customHeight="true" outlineLevel="0" collapsed="false">
      <c r="B16" s="113" t="s">
        <v>2449</v>
      </c>
      <c r="C16" s="696" t="n">
        <v>0.2</v>
      </c>
      <c r="D16" s="1316" t="n">
        <f aca="false">C11</f>
        <v>568252.279752</v>
      </c>
      <c r="E16" s="544" t="n">
        <f aca="false">C16*D16</f>
        <v>113650.4559504</v>
      </c>
      <c r="F16" s="6"/>
    </row>
    <row r="17" customFormat="false" ht="15" hidden="false" customHeight="true" outlineLevel="0" collapsed="false">
      <c r="B17" s="113" t="s">
        <v>2283</v>
      </c>
      <c r="C17" s="696" t="n">
        <v>0.55</v>
      </c>
      <c r="D17" s="1316" t="n">
        <f aca="false">D11</f>
        <v>789714.3</v>
      </c>
      <c r="E17" s="544" t="n">
        <f aca="false">C17*D17</f>
        <v>434342.865</v>
      </c>
      <c r="F17" s="6"/>
    </row>
    <row r="18" customFormat="false" ht="15" hidden="false" customHeight="true" outlineLevel="0" collapsed="false">
      <c r="B18" s="113" t="s">
        <v>2450</v>
      </c>
      <c r="C18" s="696" t="n">
        <v>0.25</v>
      </c>
      <c r="D18" s="1316" t="n">
        <f aca="false">E11</f>
        <v>1772914.8228</v>
      </c>
      <c r="E18" s="544" t="n">
        <f aca="false">C18*D18</f>
        <v>443228.7057</v>
      </c>
      <c r="F18" s="6"/>
    </row>
    <row r="19" customFormat="false" ht="15" hidden="false" customHeight="true" outlineLevel="0" collapsed="false">
      <c r="B19" s="6" t="s">
        <v>342</v>
      </c>
      <c r="C19" s="698" t="n">
        <f aca="false">SUM(C16:C18)</f>
        <v>1</v>
      </c>
      <c r="F19" s="6"/>
    </row>
    <row r="20" customFormat="false" ht="15" hidden="false" customHeight="true" outlineLevel="0" collapsed="false">
      <c r="B20" s="6"/>
      <c r="F20" s="6"/>
    </row>
    <row r="21" customFormat="false" ht="27.75" hidden="false" customHeight="true" outlineLevel="0" collapsed="false">
      <c r="B21" s="699" t="s">
        <v>5179</v>
      </c>
      <c r="E21" s="578" t="n">
        <f aca="false">SUM(E16:E18)</f>
        <v>991222.0266504</v>
      </c>
      <c r="F21" s="6"/>
    </row>
  </sheetData>
  <mergeCells count="5">
    <mergeCell ref="B2:F2"/>
    <mergeCell ref="G2:J2"/>
    <mergeCell ref="B3:J3"/>
    <mergeCell ref="B5:H5"/>
    <mergeCell ref="B14:H14"/>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J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6755</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7939</v>
      </c>
      <c r="C8" s="360" t="n">
        <f aca="false">('F&amp;B · Drivers'!C26*'F&amp;B · Drivers'!D7*UNIVERSAL_DRIVERS!$C$33*'F&amp;B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776797.2</v>
      </c>
      <c r="D8" s="1280" t="n">
        <f aca="false">('F&amp;B · Drivers'!C26*'F&amp;B · Drivers'!D7*UNIVERSAL_DRIVERS!$C$34*'F&amp;B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783162</v>
      </c>
      <c r="E8" s="1319" t="n">
        <f aca="false">('F&amp;B · Drivers'!C26*'F&amp;B · Drivers'!D7*1*'F&amp;B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789526.8</v>
      </c>
      <c r="F8" s="1320" t="n">
        <f aca="false">('F&amp;B · Drivers'!C26*'F&amp;B · Drivers'!D7*1.1*'F&amp;B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795891.6</v>
      </c>
      <c r="G8" s="1321" t="n">
        <f aca="false">('F&amp;B · Drivers'!C26*'F&amp;B · Drivers'!D7*1.2*'F&amp;B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802256.4</v>
      </c>
    </row>
    <row r="9" customFormat="false" ht="120" hidden="false" customHeight="true" outlineLevel="0" collapsed="false">
      <c r="B9" s="113" t="s">
        <v>7940</v>
      </c>
      <c r="C9" s="360" t="n">
        <f aca="false">('F&amp;B · Drivers'!C26*'F&amp;B · Drivers'!D7*'F&amp;B · Drivers'!D8*UNIVERSAL_DRIVERS!$C$33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776797.2</v>
      </c>
      <c r="D9" s="1280" t="n">
        <f aca="false">('F&amp;B · Drivers'!C26*'F&amp;B · Drivers'!D7*'F&amp;B · Drivers'!D8*UNIVERSAL_DRIVERS!$C$34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783162</v>
      </c>
      <c r="E9" s="1319" t="n">
        <f aca="false">('F&amp;B · Drivers'!C26*'F&amp;B · Drivers'!D7*'F&amp;B · Drivers'!D8*1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789526.8</v>
      </c>
      <c r="F9" s="1320" t="n">
        <f aca="false">('F&amp;B · Drivers'!C26*'F&amp;B · Drivers'!D7*'F&amp;B · Drivers'!D8*1.1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795891.6</v>
      </c>
      <c r="G9" s="1321" t="n">
        <f aca="false">('F&amp;B · Drivers'!C26*'F&amp;B · Drivers'!D7*'F&amp;B · Drivers'!D8*1.2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802256.4</v>
      </c>
    </row>
    <row r="10" customFormat="false" ht="120" hidden="false" customHeight="true" outlineLevel="0" collapsed="false">
      <c r="B10" s="113" t="s">
        <v>7941</v>
      </c>
      <c r="C10" s="360" t="n">
        <f aca="false">('F&amp;B · Drivers'!C26*'F&amp;B · Drivers'!D7*'F&amp;B · Drivers'!D8 + 'F&amp;B · Drivers'!C28*'F&amp;B · Drivers'!D10*UNIVERSAL_DRIVERS!$C$33*'F&amp;B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785399.04</v>
      </c>
      <c r="D10" s="1280" t="n">
        <f aca="false">('F&amp;B · Drivers'!C26*'F&amp;B · Drivers'!D7*'F&amp;B · Drivers'!D8 + 'F&amp;B · Drivers'!C28*'F&amp;B · Drivers'!D10*UNIVERSAL_DRIVERS!$C$34*'F&amp;B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787462.92</v>
      </c>
      <c r="E10" s="1319" t="n">
        <f aca="false">('F&amp;B · Drivers'!C26*'F&amp;B · Drivers'!D7*'F&amp;B · Drivers'!D8 + 'F&amp;B · Drivers'!C28*'F&amp;B · Drivers'!D10*1*'F&amp;B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789526.8</v>
      </c>
      <c r="F10" s="1320" t="n">
        <f aca="false">('F&amp;B · Drivers'!C26*'F&amp;B · Drivers'!D7*'F&amp;B · Drivers'!D8 + 'F&amp;B · Drivers'!C28*'F&amp;B · Drivers'!D10*1.1*'F&amp;B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791590.68</v>
      </c>
      <c r="G10" s="1321" t="n">
        <f aca="false">('F&amp;B · Drivers'!C26*'F&amp;B · Drivers'!D7*'F&amp;B · Drivers'!D8 + 'F&amp;B · Drivers'!C28*'F&amp;B · Drivers'!D10*1.2*'F&amp;B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793654.56</v>
      </c>
    </row>
    <row r="11" customFormat="false" ht="120" hidden="false" customHeight="true" outlineLevel="0" collapsed="false">
      <c r="B11" s="113" t="s">
        <v>7942</v>
      </c>
      <c r="C11" s="36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Drivers'!D13*UNIVERSAL_DRIVERS!$C$33*'F&amp;B · Drivers'!D14 + 'F&amp;B · Drivers'!D109*'F&amp;B · Drivers'!D110*'F&amp;B · Drivers'!D111)+('F&amp;B · Drivers'!D21*'F&amp;B · Drivers'!D22*'F&amp;B · Drivers'!D23*12)+('F&amp;B · Drivers'!D103*'F&amp;B · Drivers'!D104*'F&amp;B · Drivers'!D105*(1-'F&amp;B · Drivers'!D106))</f>
        <v>742006.8</v>
      </c>
      <c r="D11" s="128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Drivers'!D13*UNIVERSAL_DRIVERS!$C$34*'F&amp;B · Drivers'!D14 + 'F&amp;B · Drivers'!D109*'F&amp;B · Drivers'!D110*'F&amp;B · Drivers'!D111)+('F&amp;B · Drivers'!D21*'F&amp;B · Drivers'!D22*'F&amp;B · Drivers'!D23*12)+('F&amp;B · Drivers'!D103*'F&amp;B · Drivers'!D104*'F&amp;B · Drivers'!D105*(1-'F&amp;B · Drivers'!D106))</f>
        <v>765766.8</v>
      </c>
      <c r="E11" s="1319"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Drivers'!D13*1*'F&amp;B · Drivers'!D14 + 'F&amp;B · Drivers'!D109*'F&amp;B · Drivers'!D110*'F&amp;B · Drivers'!D111)+('F&amp;B · Drivers'!D21*'F&amp;B · Drivers'!D22*'F&amp;B · Drivers'!D23*12)+('F&amp;B · Drivers'!D103*'F&amp;B · Drivers'!D104*'F&amp;B · Drivers'!D105*(1-'F&amp;B · Drivers'!D106))</f>
        <v>789526.8</v>
      </c>
      <c r="F11" s="132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Drivers'!D13*1.1*'F&amp;B · Drivers'!D14 + 'F&amp;B · Drivers'!D109*'F&amp;B · Drivers'!D110*'F&amp;B · Drivers'!D111)+('F&amp;B · Drivers'!D21*'F&amp;B · Drivers'!D22*'F&amp;B · Drivers'!D23*12)+('F&amp;B · Drivers'!D103*'F&amp;B · Drivers'!D104*'F&amp;B · Drivers'!D105*(1-'F&amp;B · Drivers'!D106))</f>
        <v>813286.8</v>
      </c>
      <c r="G11" s="1321"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Drivers'!D13*1.2*'F&amp;B · Drivers'!D14 + 'F&amp;B · Drivers'!D109*'F&amp;B · Drivers'!D110*'F&amp;B · Drivers'!D111)+('F&amp;B · Drivers'!D21*'F&amp;B · Drivers'!D22*'F&amp;B · Drivers'!D23*12)+('F&amp;B · Drivers'!D103*'F&amp;B · Drivers'!D104*'F&amp;B · Drivers'!D105*(1-'F&amp;B · Drivers'!D106))</f>
        <v>837046.8</v>
      </c>
    </row>
    <row r="12" customFormat="false" ht="120" hidden="false" customHeight="true" outlineLevel="0" collapsed="false">
      <c r="B12" s="113" t="s">
        <v>7943</v>
      </c>
      <c r="C12" s="36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Drivers'!D14*UNIVERSAL_DRIVERS!$C$33 + 'F&amp;B · Drivers'!D109*'F&amp;B · Drivers'!D110*'F&amp;B · Drivers'!D111)+('F&amp;B · Drivers'!D21*'F&amp;B · Drivers'!D22*'F&amp;B · Drivers'!D23*12)+('F&amp;B · Drivers'!D103*'F&amp;B · Drivers'!D104*'F&amp;B · Drivers'!D105*(1-'F&amp;B · Drivers'!D106))</f>
        <v>742006.8</v>
      </c>
      <c r="D12" s="128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Drivers'!D14*UNIVERSAL_DRIVERS!$C$34 + 'F&amp;B · Drivers'!D109*'F&amp;B · Drivers'!D110*'F&amp;B · Drivers'!D111)+('F&amp;B · Drivers'!D21*'F&amp;B · Drivers'!D22*'F&amp;B · Drivers'!D23*12)+('F&amp;B · Drivers'!D103*'F&amp;B · Drivers'!D104*'F&amp;B · Drivers'!D105*(1-'F&amp;B · Drivers'!D106))</f>
        <v>765766.8</v>
      </c>
      <c r="E12" s="1319"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Drivers'!D14*1 + 'F&amp;B · Drivers'!D109*'F&amp;B · Drivers'!D110*'F&amp;B · Drivers'!D111)+('F&amp;B · Drivers'!D21*'F&amp;B · Drivers'!D22*'F&amp;B · Drivers'!D23*12)+('F&amp;B · Drivers'!D103*'F&amp;B · Drivers'!D104*'F&amp;B · Drivers'!D105*(1-'F&amp;B · Drivers'!D106))</f>
        <v>789526.8</v>
      </c>
      <c r="F12" s="132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Drivers'!D14*1.1 + 'F&amp;B · Drivers'!D109*'F&amp;B · Drivers'!D110*'F&amp;B · Drivers'!D111)+('F&amp;B · Drivers'!D21*'F&amp;B · Drivers'!D22*'F&amp;B · Drivers'!D23*12)+('F&amp;B · Drivers'!D103*'F&amp;B · Drivers'!D104*'F&amp;B · Drivers'!D105*(1-'F&amp;B · Drivers'!D106))</f>
        <v>813286.8</v>
      </c>
      <c r="G12" s="1321"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Drivers'!D14*1.2 + 'F&amp;B · Drivers'!D109*'F&amp;B · Drivers'!D110*'F&amp;B · Drivers'!D111)+('F&amp;B · Drivers'!D21*'F&amp;B · Drivers'!D22*'F&amp;B · Drivers'!D23*12)+('F&amp;B · Drivers'!D103*'F&amp;B · Drivers'!D104*'F&amp;B · Drivers'!D105*(1-'F&amp;B · Drivers'!D106))</f>
        <v>837046.8</v>
      </c>
    </row>
    <row r="13" customFormat="false" ht="120" hidden="false" customHeight="true" outlineLevel="0" collapsed="false">
      <c r="B13" s="113" t="s">
        <v>7944</v>
      </c>
      <c r="C13" s="36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Drivers'!D21*UNIVERSAL_DRIVERS!$C$33*'F&amp;B · Drivers'!D22*'F&amp;B · Drivers'!D23*12)+('F&amp;B · Drivers'!D103*'F&amp;B · Drivers'!D104*'F&amp;B · Drivers'!D105*(1-'F&amp;B · Drivers'!D106))</f>
        <v>787126.8</v>
      </c>
      <c r="D13" s="128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Drivers'!D21*UNIVERSAL_DRIVERS!$C$34*'F&amp;B · Drivers'!D22*'F&amp;B · Drivers'!D23*12)+('F&amp;B · Drivers'!D103*'F&amp;B · Drivers'!D104*'F&amp;B · Drivers'!D105*(1-'F&amp;B · Drivers'!D106))</f>
        <v>788326.8</v>
      </c>
      <c r="E13" s="1319"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Drivers'!D21*1*'F&amp;B · Drivers'!D22*'F&amp;B · Drivers'!D23*12)+('F&amp;B · Drivers'!D103*'F&amp;B · Drivers'!D104*'F&amp;B · Drivers'!D105*(1-'F&amp;B · Drivers'!D106))</f>
        <v>789526.8</v>
      </c>
      <c r="F13" s="132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Drivers'!D21*1.1*'F&amp;B · Drivers'!D22*'F&amp;B · Drivers'!D23*12)+('F&amp;B · Drivers'!D103*'F&amp;B · Drivers'!D104*'F&amp;B · Drivers'!D105*(1-'F&amp;B · Drivers'!D106))</f>
        <v>790726.8</v>
      </c>
      <c r="G13" s="1321"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Drivers'!D21*1.2*'F&amp;B · Drivers'!D22*'F&amp;B · Drivers'!D23*12)+('F&amp;B · Drivers'!D103*'F&amp;B · Drivers'!D104*'F&amp;B · Drivers'!D105*(1-'F&amp;B · Drivers'!D106))</f>
        <v>791926.8</v>
      </c>
    </row>
    <row r="14" customFormat="false" ht="120" hidden="false" customHeight="true" outlineLevel="0" collapsed="false">
      <c r="B14" s="113" t="s">
        <v>7945</v>
      </c>
      <c r="C14" s="360" t="n">
        <f aca="false">('F&amp;B · Drivers'!C26*'F&amp;B · Drivers'!D7*'F&amp;B · Drivers'!D8 + 'F&amp;B · Drivers'!C28*'F&amp;B · Drivers'!D10*'F&amp;B · Drivers'!D12*'F&amp;B · Drivers'!D11*12 + 'F&amp;B · Drivers'!C27*'F&amp;B · Drivers'!D9 + 'F&amp;B · Drivers'!D98*UNIVERSAL_DRIVERS!$C$33*'F&amp;B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737686.8</v>
      </c>
      <c r="D14" s="1280" t="n">
        <f aca="false">('F&amp;B · Drivers'!C26*'F&amp;B · Drivers'!D7*'F&amp;B · Drivers'!D8 + 'F&amp;B · Drivers'!C28*'F&amp;B · Drivers'!D10*'F&amp;B · Drivers'!D12*'F&amp;B · Drivers'!D11*12 + 'F&amp;B · Drivers'!C27*'F&amp;B · Drivers'!D9 + 'F&amp;B · Drivers'!D98*UNIVERSAL_DRIVERS!$C$34*'F&amp;B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763606.8</v>
      </c>
      <c r="E14" s="1319" t="n">
        <f aca="false">('F&amp;B · Drivers'!C26*'F&amp;B · Drivers'!D7*'F&amp;B · Drivers'!D8 + 'F&amp;B · Drivers'!C28*'F&amp;B · Drivers'!D10*'F&amp;B · Drivers'!D12*'F&amp;B · Drivers'!D11*12 + 'F&amp;B · Drivers'!C27*'F&amp;B · Drivers'!D9 + 'F&amp;B · Drivers'!D98*1*'F&amp;B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789526.8</v>
      </c>
      <c r="F14" s="1320" t="n">
        <f aca="false">('F&amp;B · Drivers'!C26*'F&amp;B · Drivers'!D7*'F&amp;B · Drivers'!D8 + 'F&amp;B · Drivers'!C28*'F&amp;B · Drivers'!D10*'F&amp;B · Drivers'!D12*'F&amp;B · Drivers'!D11*12 + 'F&amp;B · Drivers'!C27*'F&amp;B · Drivers'!D9 + 'F&amp;B · Drivers'!D98*1.1*'F&amp;B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815446.8</v>
      </c>
      <c r="G14" s="1321" t="n">
        <f aca="false">('F&amp;B · Drivers'!C26*'F&amp;B · Drivers'!D7*'F&amp;B · Drivers'!D8 + 'F&amp;B · Drivers'!C28*'F&amp;B · Drivers'!D10*'F&amp;B · Drivers'!D12*'F&amp;B · Drivers'!D11*12 + 'F&amp;B · Drivers'!C27*'F&amp;B · Drivers'!D9 + 'F&amp;B · Drivers'!D98*1.2*'F&amp;B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Drivers'!D103*'F&amp;B · Drivers'!D104*'F&amp;B · Drivers'!D105*(1-'F&amp;B · Drivers'!D106))</f>
        <v>841366.8</v>
      </c>
    </row>
    <row r="15" customFormat="false" ht="120" hidden="false" customHeight="true" outlineLevel="0" collapsed="false">
      <c r="B15" s="113" t="s">
        <v>7946</v>
      </c>
      <c r="C15" s="36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Drivers'!D103*UNIVERSAL_DRIVERS!$C$33*'F&amp;B · Drivers'!D104*'F&amp;B · Drivers'!D105*(1-'F&amp;B · Drivers'!D106))</f>
        <v>763654.8</v>
      </c>
      <c r="D15" s="128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Drivers'!D103*UNIVERSAL_DRIVERS!$C$34*'F&amp;B · Drivers'!D104*'F&amp;B · Drivers'!D105*(1-'F&amp;B · Drivers'!D106))</f>
        <v>776590.8</v>
      </c>
      <c r="E15" s="1319"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Drivers'!D103*1*'F&amp;B · Drivers'!D104*'F&amp;B · Drivers'!D105*(1-'F&amp;B · Drivers'!D106))</f>
        <v>789526.8</v>
      </c>
      <c r="F15" s="1320"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Drivers'!D103*1.1*'F&amp;B · Drivers'!D104*'F&amp;B · Drivers'!D105*(1-'F&amp;B · Drivers'!D106))</f>
        <v>802462.8</v>
      </c>
      <c r="G15" s="1321" t="n">
        <f aca="false">('F&amp;B · Drivers'!C26*'F&amp;B · Drivers'!D7*'F&amp;B · Drivers'!D8 + 'F&amp;B · Drivers'!C28*'F&amp;B · Drivers'!D10*'F&amp;B · Drivers'!D12*'F&amp;B · Drivers'!D11*12 + 'F&amp;B · Drivers'!C27*'F&amp;B · Drivers'!D9 + 'F&amp;B · Drivers'!D98*'F&amp;B · Drivers'!D99*'F&amp;B · Drivers'!D100)+('F&amp;B · Drivers'!D16*'F&amp;B · Drivers'!D17*12 + 'F&amp;B · Drivers'!D18*'F&amp;B · Drivers'!D19*12)+('F&amp;B · Drivers'!C29*'F&amp;B · Drivers'!D13*'F&amp;B · Drivers'!D14 + 'F&amp;B · Drivers'!D109*'F&amp;B · Drivers'!D110*'F&amp;B · Drivers'!D111)+('F&amp;B · Drivers'!D21*'F&amp;B · Drivers'!D22*'F&amp;B · Drivers'!D23*12)+('F&amp;B · Drivers'!D103*1.2*'F&amp;B · Drivers'!D104*'F&amp;B · Drivers'!D105*(1-'F&amp;B · Drivers'!D106))</f>
        <v>815398.8</v>
      </c>
    </row>
    <row r="16" customFormat="false" ht="21.75" hidden="false" customHeight="true" outlineLevel="0" collapsed="false">
      <c r="B16" s="304" t="s">
        <v>2343</v>
      </c>
      <c r="C16" s="304"/>
      <c r="D16" s="304"/>
      <c r="E16" s="304"/>
      <c r="F16" s="304"/>
      <c r="G16" s="304"/>
      <c r="H16" s="304"/>
    </row>
    <row r="17" customFormat="false" ht="108.75" hidden="false" customHeight="true" outlineLevel="0" collapsed="false">
      <c r="B17" s="85" t="s">
        <v>7947</v>
      </c>
      <c r="C17" s="85"/>
      <c r="D17" s="85"/>
      <c r="E17" s="85"/>
      <c r="F17" s="85"/>
      <c r="G17" s="85"/>
    </row>
    <row r="18" customFormat="false" ht="15" hidden="false" customHeight="true" outlineLevel="0" collapsed="false">
      <c r="B18" s="85"/>
      <c r="C18" s="85"/>
      <c r="D18" s="85"/>
      <c r="E18" s="85"/>
      <c r="F18" s="85"/>
      <c r="G18" s="85"/>
    </row>
    <row r="19" customFormat="false" ht="15" hidden="false" customHeight="true" outlineLevel="0" collapsed="false">
      <c r="B19" s="85"/>
      <c r="C19" s="85"/>
      <c r="D19" s="85"/>
      <c r="E19" s="85"/>
      <c r="F19" s="85"/>
      <c r="G19" s="85"/>
    </row>
    <row r="20" customFormat="false" ht="15" hidden="false" customHeight="true" outlineLevel="0" collapsed="false">
      <c r="B20" s="85"/>
      <c r="C20" s="85"/>
      <c r="D20" s="85"/>
      <c r="E20" s="85"/>
      <c r="F20" s="85"/>
      <c r="G20" s="85"/>
    </row>
  </sheetData>
  <mergeCells count="6">
    <mergeCell ref="B2:F2"/>
    <mergeCell ref="G2:J2"/>
    <mergeCell ref="B3:J3"/>
    <mergeCell ref="B5:H5"/>
    <mergeCell ref="B16:H16"/>
    <mergeCell ref="B17:G2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2"/>
    <col collapsed="false" customWidth="true" hidden="false" outlineLevel="0" max="11" min="7" style="0" width="12"/>
  </cols>
  <sheetData>
    <row r="1" customFormat="false" ht="3.75" hidden="false" customHeight="true" outlineLevel="0" collapsed="false">
      <c r="B1" s="1"/>
      <c r="C1" s="2"/>
      <c r="D1" s="2"/>
      <c r="E1" s="1"/>
      <c r="F1" s="2"/>
    </row>
    <row r="2" customFormat="false" ht="27.75" hidden="false" customHeight="true" outlineLevel="0" collapsed="false">
      <c r="B2" s="15" t="s">
        <v>7948</v>
      </c>
      <c r="C2" s="15"/>
      <c r="D2" s="15"/>
      <c r="E2" s="15"/>
      <c r="F2" s="15"/>
    </row>
    <row r="3" customFormat="false" ht="18" hidden="false" customHeight="true" outlineLevel="0" collapsed="false">
      <c r="B3" s="90" t="s">
        <v>7949</v>
      </c>
      <c r="C3" s="90"/>
      <c r="D3" s="90"/>
      <c r="E3" s="90"/>
      <c r="F3" s="90"/>
    </row>
    <row r="4" customFormat="false" ht="15" hidden="false" customHeight="true" outlineLevel="0" collapsed="false">
      <c r="B4" s="6"/>
      <c r="E4" s="6"/>
    </row>
    <row r="5" customFormat="false" ht="21.75" hidden="false" customHeight="true" outlineLevel="0" collapsed="false">
      <c r="B5" s="96" t="s">
        <v>4374</v>
      </c>
      <c r="C5" s="96"/>
      <c r="D5" s="96"/>
      <c r="E5" s="96"/>
      <c r="F5" s="96"/>
    </row>
    <row r="6" customFormat="false" ht="21.75" hidden="false" customHeight="true" outlineLevel="0" collapsed="false">
      <c r="B6" s="97" t="s">
        <v>206</v>
      </c>
      <c r="C6" s="98" t="s">
        <v>4375</v>
      </c>
      <c r="D6" s="98" t="s">
        <v>7950</v>
      </c>
      <c r="E6" s="99" t="s">
        <v>7951</v>
      </c>
      <c r="F6" s="98" t="s">
        <v>778</v>
      </c>
    </row>
    <row r="7" customFormat="false" ht="18" hidden="false" customHeight="true" outlineLevel="0" collapsed="false">
      <c r="B7" s="1324" t="s">
        <v>7915</v>
      </c>
      <c r="C7" s="1482" t="n">
        <v>316</v>
      </c>
      <c r="D7" s="1475" t="s">
        <v>7952</v>
      </c>
      <c r="E7" s="1483" t="s">
        <v>7953</v>
      </c>
      <c r="F7" s="1326" t="s">
        <v>7954</v>
      </c>
    </row>
    <row r="8" customFormat="false" ht="18" hidden="false" customHeight="true" outlineLevel="0" collapsed="false">
      <c r="B8" s="1324" t="s">
        <v>3273</v>
      </c>
      <c r="C8" s="1461" t="n">
        <f aca="false">'F&amp;B · Costs'!C41/95000</f>
        <v>8.31278210526316</v>
      </c>
      <c r="D8" s="1475" t="s">
        <v>4144</v>
      </c>
      <c r="E8" s="1483" t="s">
        <v>7955</v>
      </c>
      <c r="F8" s="1326" t="s">
        <v>7956</v>
      </c>
    </row>
    <row r="9" customFormat="false" ht="18" hidden="false" customHeight="true" outlineLevel="0" collapsed="false">
      <c r="B9" s="1324" t="s">
        <v>7957</v>
      </c>
      <c r="C9" s="1461" t="n">
        <f aca="false">'F&amp;B · Costs'!C48*-1/'F&amp;B · Costs'!C41</f>
        <v>0.261876194973296</v>
      </c>
      <c r="D9" s="1475" t="s">
        <v>7958</v>
      </c>
      <c r="E9" s="1483" t="s">
        <v>7959</v>
      </c>
      <c r="F9" s="1326" t="s">
        <v>7960</v>
      </c>
    </row>
    <row r="10" customFormat="false" ht="18" hidden="false" customHeight="true" outlineLevel="0" collapsed="false">
      <c r="B10" s="1324" t="s">
        <v>7961</v>
      </c>
      <c r="C10" s="1457" t="n">
        <v>0.3</v>
      </c>
      <c r="D10" s="1475" t="s">
        <v>7962</v>
      </c>
      <c r="E10" s="1483" t="s">
        <v>7963</v>
      </c>
      <c r="F10" s="1326" t="s">
        <v>7964</v>
      </c>
    </row>
    <row r="11" customFormat="false" ht="18" hidden="false" customHeight="true" outlineLevel="0" collapsed="false">
      <c r="B11" s="1324" t="s">
        <v>7965</v>
      </c>
      <c r="C11" s="1465" t="n">
        <f aca="false">'F&amp;B · Costs'!C53</f>
        <v>0.266261512549538</v>
      </c>
      <c r="D11" s="1475" t="s">
        <v>7966</v>
      </c>
      <c r="E11" s="1483" t="s">
        <v>7967</v>
      </c>
      <c r="F11" s="1326" t="s">
        <v>7968</v>
      </c>
    </row>
    <row r="12" customFormat="false" ht="18" hidden="false" customHeight="true" outlineLevel="0" collapsed="false">
      <c r="B12" s="1324" t="s">
        <v>7969</v>
      </c>
      <c r="C12" s="1465" t="n">
        <f aca="false">'F&amp;B · Revenue'!D38</f>
        <v>0.163806075184405</v>
      </c>
      <c r="D12" s="1475" t="s">
        <v>6851</v>
      </c>
      <c r="E12" s="1483" t="s">
        <v>7970</v>
      </c>
      <c r="F12" s="1326" t="s">
        <v>7971</v>
      </c>
    </row>
    <row r="13" customFormat="false" ht="18" hidden="false" customHeight="true" outlineLevel="0" collapsed="false">
      <c r="B13" s="1324" t="s">
        <v>7972</v>
      </c>
      <c r="C13" s="1457" t="n">
        <v>0.3</v>
      </c>
      <c r="D13" s="1475" t="s">
        <v>6773</v>
      </c>
      <c r="E13" s="1483" t="s">
        <v>7973</v>
      </c>
      <c r="F13" s="1326" t="s">
        <v>7974</v>
      </c>
    </row>
    <row r="14" customFormat="false" ht="15" hidden="false" customHeight="true" outlineLevel="0" collapsed="false">
      <c r="B14" s="6"/>
      <c r="E14" s="6"/>
    </row>
    <row r="15" customFormat="false" ht="21.75" hidden="false" customHeight="true" outlineLevel="0" collapsed="false">
      <c r="B15" s="575" t="s">
        <v>7975</v>
      </c>
      <c r="C15" s="575"/>
      <c r="D15" s="575"/>
      <c r="E15" s="575"/>
      <c r="F15" s="575"/>
    </row>
    <row r="16" customFormat="false" ht="120" hidden="false" customHeight="true" outlineLevel="0" collapsed="false">
      <c r="B16" s="85" t="s">
        <v>7976</v>
      </c>
      <c r="C16" s="85"/>
      <c r="D16" s="85"/>
      <c r="E16" s="85"/>
      <c r="F16" s="85"/>
    </row>
    <row r="17" customFormat="false" ht="15" hidden="false" customHeight="true" outlineLevel="0" collapsed="false">
      <c r="B17" s="85"/>
      <c r="C17" s="85"/>
      <c r="D17" s="85"/>
      <c r="E17" s="85"/>
      <c r="F17" s="85"/>
    </row>
    <row r="18" customFormat="false" ht="15" hidden="false" customHeight="true" outlineLevel="0" collapsed="false">
      <c r="B18" s="85"/>
      <c r="C18" s="85"/>
      <c r="D18" s="85"/>
      <c r="E18" s="85"/>
      <c r="F18" s="85"/>
    </row>
    <row r="19" customFormat="false" ht="15" hidden="false" customHeight="true" outlineLevel="0" collapsed="false">
      <c r="B19" s="85"/>
      <c r="C19" s="85"/>
      <c r="D19" s="85"/>
      <c r="E19" s="85"/>
      <c r="F19" s="85"/>
    </row>
  </sheetData>
  <mergeCells count="5">
    <mergeCell ref="B2:F2"/>
    <mergeCell ref="B3:F3"/>
    <mergeCell ref="B5:F5"/>
    <mergeCell ref="B15:F15"/>
    <mergeCell ref="B16:F19"/>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true"/>
  </sheetPr>
  <dimension ref="B1: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6" min="5" style="0" width="9"/>
    <col collapsed="false" customWidth="true" hidden="false" outlineLevel="0" max="11" min="7" style="0" width="12"/>
  </cols>
  <sheetData>
    <row r="1" customFormat="false" ht="3.75" hidden="false" customHeight="true" outlineLevel="0" collapsed="false">
      <c r="B1" s="1"/>
      <c r="C1" s="1"/>
      <c r="D1" s="2"/>
      <c r="E1" s="2"/>
      <c r="F1" s="2"/>
    </row>
    <row r="2" customFormat="false" ht="27.75" hidden="false" customHeight="true" outlineLevel="0" collapsed="false">
      <c r="B2" s="15" t="s">
        <v>7977</v>
      </c>
      <c r="C2" s="15"/>
      <c r="D2" s="15"/>
      <c r="E2" s="15"/>
      <c r="F2" s="15"/>
    </row>
    <row r="3" customFormat="false" ht="18" hidden="false" customHeight="true" outlineLevel="0" collapsed="false">
      <c r="B3" s="90" t="s">
        <v>5357</v>
      </c>
      <c r="C3" s="90"/>
      <c r="D3" s="90"/>
      <c r="E3" s="90"/>
      <c r="F3" s="90"/>
    </row>
    <row r="4" customFormat="false" ht="15" hidden="false" customHeight="true" outlineLevel="0" collapsed="false">
      <c r="B4" s="6"/>
      <c r="C4" s="6"/>
    </row>
    <row r="5" customFormat="false" ht="33.75" hidden="false" customHeight="true" outlineLevel="0" collapsed="false">
      <c r="B5" s="96" t="s">
        <v>5358</v>
      </c>
      <c r="C5" s="96"/>
      <c r="D5" s="96"/>
    </row>
    <row r="6" customFormat="false" ht="21.75" hidden="false" customHeight="true" outlineLevel="0" collapsed="false">
      <c r="B6" s="97" t="s">
        <v>4477</v>
      </c>
      <c r="C6" s="97" t="s">
        <v>4478</v>
      </c>
      <c r="D6" s="551" t="s">
        <v>86</v>
      </c>
    </row>
    <row r="7" customFormat="false" ht="18" hidden="false" customHeight="true" outlineLevel="0" collapsed="false">
      <c r="B7" s="1324" t="s">
        <v>7978</v>
      </c>
      <c r="C7" s="1325" t="s">
        <v>7979</v>
      </c>
      <c r="D7" s="1326" t="s">
        <v>5361</v>
      </c>
    </row>
    <row r="8" customFormat="false" ht="18" hidden="false" customHeight="true" outlineLevel="0" collapsed="false">
      <c r="B8" s="1324" t="s">
        <v>7980</v>
      </c>
      <c r="C8" s="1325" t="s">
        <v>7981</v>
      </c>
      <c r="D8" s="1326" t="s">
        <v>5364</v>
      </c>
    </row>
    <row r="9" customFormat="false" ht="18" hidden="false" customHeight="true" outlineLevel="0" collapsed="false">
      <c r="B9" s="1324" t="s">
        <v>7982</v>
      </c>
      <c r="C9" s="1325" t="s">
        <v>7983</v>
      </c>
      <c r="D9" s="1326" t="s">
        <v>5367</v>
      </c>
    </row>
    <row r="10" customFormat="false" ht="18" hidden="false" customHeight="true" outlineLevel="0" collapsed="false">
      <c r="B10" s="1324" t="s">
        <v>7984</v>
      </c>
      <c r="C10" s="1325" t="s">
        <v>7985</v>
      </c>
      <c r="D10" s="1326" t="s">
        <v>5370</v>
      </c>
    </row>
    <row r="11" customFormat="false" ht="18" hidden="false" customHeight="true" outlineLevel="0" collapsed="false">
      <c r="B11" s="1324" t="s">
        <v>7986</v>
      </c>
      <c r="C11" s="1325" t="s">
        <v>7987</v>
      </c>
      <c r="D11" s="1326" t="s">
        <v>5373</v>
      </c>
    </row>
    <row r="12" customFormat="false" ht="18" hidden="false" customHeight="true" outlineLevel="0" collapsed="false">
      <c r="B12" s="1324" t="s">
        <v>5374</v>
      </c>
      <c r="C12" s="1325" t="s">
        <v>5375</v>
      </c>
      <c r="D12" s="1326" t="s">
        <v>5376</v>
      </c>
    </row>
    <row r="13" customFormat="false" ht="18" hidden="false" customHeight="true" outlineLevel="0" collapsed="false">
      <c r="B13" s="1324" t="s">
        <v>5377</v>
      </c>
      <c r="C13" s="1325" t="s">
        <v>5375</v>
      </c>
      <c r="D13" s="1326" t="s">
        <v>5378</v>
      </c>
    </row>
    <row r="14" customFormat="false" ht="15" hidden="false" customHeight="true" outlineLevel="0" collapsed="false">
      <c r="B14" s="6"/>
      <c r="C14" s="6"/>
    </row>
    <row r="15" customFormat="false" ht="21.75" hidden="false" customHeight="true" outlineLevel="0" collapsed="false">
      <c r="B15" s="575" t="s">
        <v>4495</v>
      </c>
      <c r="C15" s="575"/>
      <c r="D15" s="575"/>
    </row>
    <row r="16" customFormat="false" ht="120" hidden="false" customHeight="true" outlineLevel="0" collapsed="false">
      <c r="B16" s="574" t="s">
        <v>7988</v>
      </c>
      <c r="C16" s="574"/>
      <c r="D16" s="574"/>
    </row>
    <row r="17" customFormat="false" ht="15" hidden="false" customHeight="true" outlineLevel="0" collapsed="false">
      <c r="B17" s="574"/>
      <c r="C17" s="574"/>
      <c r="D17" s="574"/>
    </row>
    <row r="18" customFormat="false" ht="15" hidden="false" customHeight="true" outlineLevel="0" collapsed="false">
      <c r="B18" s="574"/>
      <c r="C18" s="574"/>
      <c r="D18" s="574"/>
    </row>
    <row r="19" customFormat="false" ht="15" hidden="false" customHeight="true" outlineLevel="0" collapsed="false">
      <c r="B19" s="574"/>
      <c r="C19" s="574"/>
      <c r="D19" s="574"/>
    </row>
    <row r="20" customFormat="false" ht="15" hidden="false" customHeight="true" outlineLevel="0" collapsed="false">
      <c r="B20" s="574"/>
      <c r="C20" s="574"/>
      <c r="D20" s="574"/>
    </row>
    <row r="21" customFormat="false" ht="15" hidden="false" customHeight="true" outlineLevel="0" collapsed="false">
      <c r="B21" s="574"/>
      <c r="C21" s="574"/>
      <c r="D21" s="574"/>
    </row>
  </sheetData>
  <mergeCells count="5">
    <mergeCell ref="B2:F2"/>
    <mergeCell ref="B3:F3"/>
    <mergeCell ref="B5:D5"/>
    <mergeCell ref="B15:D15"/>
    <mergeCell ref="B16:D21"/>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88" t="s">
        <v>7989</v>
      </c>
      <c r="C2" s="88"/>
      <c r="D2" s="88"/>
      <c r="E2" s="88"/>
      <c r="F2" s="88"/>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'Sponsorships · Revenue'!E27</f>
        <v>287000</v>
      </c>
      <c r="D7" s="1155" t="n">
        <f aca="false">'Sponsorships · Costs'!C16</f>
        <v>105960</v>
      </c>
      <c r="E7" s="577" t="n">
        <f aca="false">'Sponsorships · Costs'!C29</f>
        <v>181040</v>
      </c>
      <c r="F7" s="1156" t="n">
        <f aca="false">'Sponsorships · Costs'!C29/'Sponsorships · Revenue'!E27</f>
        <v>0.630801393728223</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'Sponsorships · Revenue'!E27*I9</f>
        <v>287000</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160" t="s">
        <v>7990</v>
      </c>
      <c r="C13" s="1161" t="n">
        <f aca="false">'Sponsorships · Revenue'!E8</f>
        <v>49500</v>
      </c>
      <c r="D13" s="572" t="n">
        <f aca="false">C13/'Sponsorships · Revenue'!E27</f>
        <v>0.172473867595819</v>
      </c>
      <c r="E13" s="314"/>
      <c r="F13" s="314"/>
      <c r="G13" s="314"/>
      <c r="H13" s="314"/>
      <c r="I13" s="314"/>
      <c r="J13" s="314"/>
    </row>
    <row r="14" customFormat="false" ht="15" hidden="false" customHeight="true" outlineLevel="0" collapsed="false">
      <c r="A14" s="314"/>
      <c r="B14" s="1160" t="s">
        <v>7991</v>
      </c>
      <c r="C14" s="1161" t="n">
        <f aca="false">'Sponsorships · Revenue'!E13</f>
        <v>79500</v>
      </c>
      <c r="D14" s="572" t="n">
        <f aca="false">C14/'Sponsorships · Revenue'!E27</f>
        <v>0.277003484320558</v>
      </c>
      <c r="E14" s="314"/>
      <c r="F14" s="314"/>
      <c r="G14" s="314"/>
      <c r="H14" s="314"/>
      <c r="I14" s="314"/>
      <c r="J14" s="314"/>
    </row>
    <row r="15" customFormat="false" ht="21.75" hidden="false" customHeight="true" outlineLevel="0" collapsed="false">
      <c r="A15" s="314"/>
      <c r="B15" s="1160" t="s">
        <v>7992</v>
      </c>
      <c r="C15" s="1161" t="n">
        <f aca="false">'Sponsorships · Revenue'!E18</f>
        <v>58000</v>
      </c>
      <c r="D15" s="572" t="n">
        <f aca="false">C15/'Sponsorships · Revenue'!E27</f>
        <v>0.202090592334495</v>
      </c>
      <c r="E15" s="314"/>
      <c r="F15" s="314"/>
      <c r="G15" s="314"/>
      <c r="H15" s="314"/>
      <c r="I15" s="314"/>
      <c r="J15" s="314"/>
    </row>
    <row r="16" customFormat="false" ht="18" hidden="false" customHeight="true" outlineLevel="0" collapsed="false">
      <c r="A16" s="314"/>
      <c r="B16" s="1160" t="s">
        <v>7993</v>
      </c>
      <c r="C16" s="1161" t="n">
        <f aca="false">'Sponsorships · Revenue'!E24</f>
        <v>100000</v>
      </c>
      <c r="D16" s="572" t="n">
        <f aca="false">C16/'Sponsorships · Revenue'!E27</f>
        <v>0.348432055749129</v>
      </c>
      <c r="E16" s="314"/>
      <c r="F16" s="314"/>
      <c r="G16" s="314"/>
      <c r="H16" s="314"/>
      <c r="I16" s="314"/>
      <c r="J16" s="314"/>
    </row>
    <row r="17" customFormat="false" ht="24" hidden="false" customHeight="true" outlineLevel="0" collapsed="false">
      <c r="A17" s="314"/>
      <c r="B17" s="117" t="s">
        <v>3455</v>
      </c>
      <c r="C17" s="546" t="n">
        <f aca="false">'Sponsorships · Revenue'!E27</f>
        <v>287000</v>
      </c>
      <c r="D17" s="1162" t="n">
        <v>1</v>
      </c>
      <c r="E17" s="314"/>
      <c r="F17" s="314"/>
      <c r="G17" s="314"/>
      <c r="H17" s="314"/>
      <c r="I17" s="314"/>
      <c r="J17" s="314"/>
    </row>
    <row r="18" customFormat="false" ht="18" hidden="false" customHeight="true" outlineLevel="0" collapsed="false">
      <c r="A18" s="314"/>
      <c r="B18" s="317"/>
      <c r="C18" s="317"/>
      <c r="D18" s="317"/>
      <c r="E18" s="314"/>
      <c r="F18" s="314"/>
      <c r="G18" s="314"/>
      <c r="H18" s="314"/>
      <c r="I18" s="314"/>
      <c r="J18" s="314"/>
    </row>
    <row r="19" customFormat="false" ht="18" hidden="false" customHeight="true" outlineLevel="0" collapsed="false">
      <c r="A19" s="314"/>
      <c r="B19" s="317"/>
      <c r="C19" s="317"/>
      <c r="D19" s="317"/>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8" hidden="false" customHeight="true" outlineLevel="0" collapsed="false">
      <c r="A21" s="314"/>
      <c r="B21" s="317"/>
      <c r="C21" s="317"/>
      <c r="D21" s="317"/>
      <c r="E21" s="314"/>
      <c r="F21" s="314"/>
      <c r="G21" s="314"/>
      <c r="H21" s="314"/>
      <c r="I21" s="314"/>
      <c r="J21" s="314"/>
    </row>
    <row r="22" customFormat="false" ht="15"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21.75" hidden="false" customHeight="true" outlineLevel="0" collapsed="false">
      <c r="A24" s="314"/>
      <c r="B24" s="113" t="s">
        <v>3457</v>
      </c>
      <c r="C24" s="1161" t="n">
        <f aca="false">'Sponsorships · 8-Year'!C11</f>
        <v>229600</v>
      </c>
      <c r="D24" s="317"/>
      <c r="E24" s="314"/>
      <c r="F24" s="314"/>
      <c r="G24" s="314"/>
      <c r="H24" s="314"/>
      <c r="I24" s="314"/>
      <c r="J24" s="314"/>
    </row>
    <row r="25" customFormat="false" ht="19.5" hidden="false" customHeight="true" outlineLevel="0" collapsed="false">
      <c r="A25" s="314"/>
      <c r="B25" s="113" t="s">
        <v>3458</v>
      </c>
      <c r="C25" s="1161" t="n">
        <f aca="false">'Sponsorships · 8-Year'!F11</f>
        <v>313612.649</v>
      </c>
      <c r="D25" s="317"/>
      <c r="E25" s="314"/>
      <c r="F25" s="314"/>
      <c r="G25" s="314"/>
      <c r="H25" s="314"/>
      <c r="I25" s="314"/>
      <c r="J25" s="314"/>
    </row>
    <row r="26" customFormat="false" ht="31.5" hidden="false" customHeight="true" outlineLevel="0" collapsed="false">
      <c r="A26" s="314"/>
      <c r="B26" s="113" t="s">
        <v>3459</v>
      </c>
      <c r="C26" s="1161" t="n">
        <f aca="false">'Sponsorships · 8-Year'!J11</f>
        <v>370622.489345785</v>
      </c>
      <c r="D26" s="317"/>
      <c r="E26" s="314"/>
      <c r="F26" s="314"/>
      <c r="G26" s="314"/>
      <c r="H26" s="314"/>
      <c r="I26" s="314"/>
      <c r="J26" s="314"/>
    </row>
    <row r="27" customFormat="false" ht="31.5" hidden="false" customHeight="true" outlineLevel="0" collapsed="false">
      <c r="A27" s="314"/>
      <c r="B27" s="81" t="s">
        <v>3460</v>
      </c>
      <c r="C27" s="782" t="n">
        <f aca="false">'Sponsorships · 8-Year'!K11</f>
        <v>2516558.3686651</v>
      </c>
      <c r="D27" s="317"/>
      <c r="E27" s="314"/>
      <c r="F27" s="314"/>
      <c r="G27" s="314"/>
      <c r="H27" s="314"/>
      <c r="I27" s="314"/>
      <c r="J27" s="314"/>
    </row>
    <row r="28" customFormat="false" ht="31.5" hidden="false" customHeight="true" outlineLevel="0" collapsed="false">
      <c r="A28" s="314"/>
      <c r="B28" s="81" t="s">
        <v>3461</v>
      </c>
      <c r="C28" s="1163" t="n">
        <f aca="false">'Sponsorships · 8-Year'!K20</f>
        <v>1577169.80733282</v>
      </c>
      <c r="D28" s="317"/>
      <c r="E28" s="314"/>
      <c r="F28" s="314"/>
      <c r="G28" s="314"/>
      <c r="H28" s="314"/>
      <c r="I28" s="314"/>
      <c r="J28" s="314"/>
    </row>
    <row r="29" customFormat="false" ht="63.75" hidden="false" customHeight="true" outlineLevel="0" collapsed="false">
      <c r="A29" s="314"/>
      <c r="B29" s="1164" t="s">
        <v>3462</v>
      </c>
      <c r="C29" s="1165" t="n">
        <f aca="false">('Sponsorships · 8-Year'!J11/'Sponsorships · 8-Year'!C11)^(1/7)-1</f>
        <v>0.0708004745979443</v>
      </c>
      <c r="D29" s="317"/>
      <c r="E29" s="314"/>
      <c r="F29" s="314"/>
      <c r="G29" s="314"/>
      <c r="H29" s="314"/>
      <c r="I29" s="314"/>
      <c r="J29" s="314"/>
    </row>
    <row r="30" customFormat="false" ht="93.75" hidden="false" customHeight="true" outlineLevel="0" collapsed="false">
      <c r="A30" s="314"/>
      <c r="B30" s="907" t="s">
        <v>3463</v>
      </c>
      <c r="C30" s="317"/>
      <c r="D30" s="317"/>
      <c r="E30" s="314"/>
      <c r="F30" s="314"/>
      <c r="G30" s="314"/>
      <c r="H30" s="314"/>
      <c r="I30" s="314"/>
      <c r="J30" s="314"/>
    </row>
    <row r="31" customFormat="false" ht="21.75" hidden="false" customHeight="true" outlineLevel="0" collapsed="false">
      <c r="A31" s="314"/>
      <c r="B31" s="96" t="s">
        <v>4504</v>
      </c>
      <c r="C31" s="96"/>
      <c r="D31" s="96"/>
      <c r="E31" s="96"/>
      <c r="F31" s="96"/>
      <c r="G31" s="96"/>
      <c r="H31" s="96"/>
      <c r="I31" s="96"/>
      <c r="J31" s="314"/>
    </row>
    <row r="32" customFormat="false" ht="21.75" hidden="false" customHeight="true" outlineLevel="0" collapsed="false">
      <c r="A32" s="314"/>
      <c r="B32" s="97" t="s">
        <v>3465</v>
      </c>
      <c r="C32" s="319" t="s">
        <v>3466</v>
      </c>
      <c r="D32" s="319"/>
      <c r="E32" s="319"/>
      <c r="F32" s="319"/>
      <c r="G32" s="319"/>
      <c r="H32" s="319"/>
      <c r="I32" s="314"/>
      <c r="J32" s="314"/>
    </row>
    <row r="33" customFormat="false" ht="48.75" hidden="false" customHeight="true" outlineLevel="0" collapsed="false">
      <c r="A33" s="314"/>
      <c r="B33" s="1160" t="s">
        <v>4505</v>
      </c>
      <c r="C33" s="134" t="s">
        <v>4506</v>
      </c>
      <c r="D33" s="134"/>
      <c r="E33" s="134"/>
      <c r="F33" s="134"/>
      <c r="G33" s="134"/>
      <c r="H33" s="134"/>
      <c r="I33" s="314"/>
      <c r="J33" s="314"/>
    </row>
    <row r="34" customFormat="false" ht="48.75" hidden="false" customHeight="true" outlineLevel="0" collapsed="false">
      <c r="B34" s="1160" t="s">
        <v>4507</v>
      </c>
      <c r="C34" s="134" t="s">
        <v>4508</v>
      </c>
      <c r="D34" s="134"/>
      <c r="E34" s="134"/>
      <c r="F34" s="134"/>
      <c r="G34" s="134"/>
      <c r="H34" s="134"/>
    </row>
    <row r="35" customFormat="false" ht="63.75" hidden="false" customHeight="true" outlineLevel="0" collapsed="false">
      <c r="B35" s="1160" t="s">
        <v>2487</v>
      </c>
      <c r="C35" s="134" t="s">
        <v>4509</v>
      </c>
      <c r="D35" s="134"/>
      <c r="E35" s="134"/>
      <c r="F35" s="134"/>
      <c r="G35" s="134"/>
      <c r="H35" s="134"/>
    </row>
    <row r="36" customFormat="false" ht="63.75" hidden="false" customHeight="true" outlineLevel="0" collapsed="false">
      <c r="B36" s="1160" t="s">
        <v>4510</v>
      </c>
      <c r="C36" s="134" t="s">
        <v>4511</v>
      </c>
      <c r="D36" s="134"/>
      <c r="E36" s="134"/>
      <c r="F36" s="134"/>
      <c r="G36" s="134"/>
      <c r="H36" s="134"/>
    </row>
    <row r="37" customFormat="false" ht="63.75" hidden="false" customHeight="true" outlineLevel="0" collapsed="false">
      <c r="B37" s="1160" t="s">
        <v>4512</v>
      </c>
      <c r="C37" s="134" t="s">
        <v>4513</v>
      </c>
      <c r="D37" s="134"/>
      <c r="E37" s="134"/>
      <c r="F37" s="134"/>
      <c r="G37" s="134"/>
      <c r="H37" s="134"/>
    </row>
    <row r="38" customFormat="false" ht="48.75" hidden="false" customHeight="true" outlineLevel="0" collapsed="false">
      <c r="B38" s="1160" t="s">
        <v>4514</v>
      </c>
      <c r="C38" s="134" t="s">
        <v>4515</v>
      </c>
      <c r="D38" s="134"/>
      <c r="E38" s="134"/>
      <c r="F38" s="134"/>
      <c r="G38" s="134"/>
      <c r="H38" s="134"/>
    </row>
    <row r="39" customFormat="false" ht="63.75" hidden="false" customHeight="true" outlineLevel="0" collapsed="false">
      <c r="B39" s="1160" t="s">
        <v>4516</v>
      </c>
      <c r="C39" s="134" t="s">
        <v>3480</v>
      </c>
      <c r="D39" s="134"/>
      <c r="E39" s="134"/>
      <c r="F39" s="134"/>
      <c r="G39" s="134"/>
      <c r="H39" s="134"/>
    </row>
    <row r="40" customFormat="false" ht="48.75" hidden="false" customHeight="true" outlineLevel="0" collapsed="false">
      <c r="B40" s="1160" t="s">
        <v>4517</v>
      </c>
      <c r="C40" s="134" t="s">
        <v>4518</v>
      </c>
      <c r="D40" s="134"/>
      <c r="E40" s="134"/>
      <c r="F40" s="134"/>
      <c r="G40" s="134"/>
      <c r="H40" s="13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619</v>
      </c>
      <c r="D52" s="99" t="s">
        <v>4531</v>
      </c>
      <c r="E52" s="98" t="s">
        <v>7994</v>
      </c>
      <c r="F52" s="98" t="s">
        <v>778</v>
      </c>
    </row>
    <row r="53" customFormat="false" ht="15" hidden="false" customHeight="true" outlineLevel="0" collapsed="false">
      <c r="B53" s="113" t="s">
        <v>3502</v>
      </c>
      <c r="C53" s="1161" t="n">
        <f aca="false">'Sponsorships · Revenue'!E27</f>
        <v>287000</v>
      </c>
      <c r="D53" s="386" t="n">
        <f aca="false">SUM('Master Revenue'!D7:D15)</f>
        <v>6672022.15</v>
      </c>
      <c r="E53" s="1166" t="n">
        <f aca="false">C53/D53</f>
        <v>0.0430154447254046</v>
      </c>
      <c r="F53" s="107" t="s">
        <v>4533</v>
      </c>
    </row>
    <row r="54" customFormat="false" ht="15" hidden="false" customHeight="true" outlineLevel="0" collapsed="false">
      <c r="B54" s="113" t="s">
        <v>3504</v>
      </c>
      <c r="C54" s="1161" t="n">
        <f aca="false">'Sponsorships · Costs'!C29</f>
        <v>181040</v>
      </c>
      <c r="D54" s="386" t="n">
        <f aca="false">SUM('Master Cost'!I7:I15)</f>
        <v>4022722.921025</v>
      </c>
      <c r="E54" s="1166" t="n">
        <f aca="false">C54/D54</f>
        <v>0.0450043424700677</v>
      </c>
      <c r="F54" s="107" t="s">
        <v>4534</v>
      </c>
    </row>
    <row r="55" customFormat="false" ht="15" hidden="false" customHeight="true" outlineLevel="0" collapsed="false">
      <c r="B55" s="113" t="s">
        <v>3460</v>
      </c>
      <c r="C55" s="1161" t="n">
        <f aca="false">'Sponsorships · 8-Year'!K11</f>
        <v>2516558.3686651</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100000</v>
      </c>
      <c r="D59" s="134" t="s">
        <v>4538</v>
      </c>
      <c r="E59" s="134"/>
      <c r="F59" s="134"/>
      <c r="G59" s="134"/>
      <c r="H59" s="134"/>
    </row>
    <row r="60" customFormat="false" ht="15" hidden="false" customHeight="true" outlineLevel="0" collapsed="false">
      <c r="B60" s="126" t="s">
        <v>3511</v>
      </c>
      <c r="C60" s="1161" t="n">
        <f aca="false">'Sponsorships · Cash Flow'!K28</f>
        <v>1524517.11844082</v>
      </c>
      <c r="D60" s="134" t="s">
        <v>3512</v>
      </c>
      <c r="E60" s="134"/>
      <c r="F60" s="134"/>
      <c r="G60" s="134"/>
      <c r="H60" s="134"/>
    </row>
    <row r="61" customFormat="false" ht="15" hidden="false" customHeight="true" outlineLevel="0" collapsed="false">
      <c r="B61" s="113" t="s">
        <v>3513</v>
      </c>
      <c r="C61" s="1161" t="n">
        <f aca="false">'Sponsorships · Cash Flow'!F28</f>
        <v>195271.671544041</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0.512107051725863</v>
      </c>
      <c r="D63" s="134" t="s">
        <v>3516</v>
      </c>
      <c r="E63" s="134"/>
      <c r="F63" s="134"/>
      <c r="G63" s="134"/>
      <c r="H63" s="134"/>
    </row>
    <row r="64" customFormat="false" ht="15" hidden="false" customHeight="true" outlineLevel="0" collapsed="false">
      <c r="B64" s="113" t="s">
        <v>3517</v>
      </c>
      <c r="C64" s="1169" t="n">
        <f aca="false">C61/C59</f>
        <v>1.95271671544041</v>
      </c>
      <c r="D64" s="134" t="s">
        <v>3518</v>
      </c>
      <c r="E64" s="134"/>
      <c r="F64" s="134"/>
      <c r="G64" s="134"/>
      <c r="H64" s="134"/>
    </row>
    <row r="65" customFormat="false" ht="15" hidden="false" customHeight="true" outlineLevel="0" collapsed="false">
      <c r="B65" s="113" t="s">
        <v>3519</v>
      </c>
      <c r="C65" s="1170" t="n">
        <f aca="false">(C60+C59)/C59</f>
        <v>16.2451711844082</v>
      </c>
      <c r="D65" s="134" t="s">
        <v>3520</v>
      </c>
      <c r="E65" s="134"/>
      <c r="F65" s="134"/>
      <c r="G65" s="134"/>
      <c r="H65" s="134"/>
    </row>
    <row r="66" customFormat="false" ht="15" hidden="false" customHeight="true" outlineLevel="0" collapsed="false">
      <c r="B66" s="113" t="s">
        <v>3523</v>
      </c>
      <c r="C66" s="1169" t="n">
        <f aca="false">C60/C59</f>
        <v>15.2451711844082</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63.75" hidden="false" customHeight="true" outlineLevel="0" collapsed="false">
      <c r="B70" s="1171" t="s">
        <v>7995</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7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0" min="9" style="0" width="9"/>
    <col collapsed="false" customWidth="true" hidden="false" outlineLevel="0" max="11" min="11" style="0" width="12"/>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7996</v>
      </c>
      <c r="C2" s="878"/>
      <c r="D2" s="878"/>
      <c r="E2" s="878"/>
      <c r="F2" s="878"/>
      <c r="G2" s="89" t="s">
        <v>3432</v>
      </c>
      <c r="H2" s="89"/>
      <c r="I2" s="89"/>
      <c r="J2" s="89"/>
    </row>
    <row r="3" customFormat="false" ht="33.75" hidden="false" customHeight="true" outlineLevel="0" collapsed="false">
      <c r="B3" s="90" t="s">
        <v>7997</v>
      </c>
      <c r="C3" s="90"/>
      <c r="D3" s="90"/>
      <c r="E3" s="90"/>
      <c r="F3" s="90"/>
      <c r="G3" s="90"/>
      <c r="H3" s="90"/>
      <c r="I3" s="90"/>
      <c r="J3" s="90"/>
    </row>
    <row r="4" customFormat="false" ht="19.5" hidden="false" customHeight="true" outlineLevel="0" collapsed="false">
      <c r="B4" s="6"/>
      <c r="E4" s="6"/>
      <c r="G4" s="367" t="s">
        <v>4543</v>
      </c>
      <c r="H4" s="367"/>
    </row>
    <row r="5" customFormat="false" ht="33.75" hidden="false" customHeight="true" outlineLevel="0" collapsed="false">
      <c r="B5" s="96" t="s">
        <v>4544</v>
      </c>
      <c r="C5" s="96"/>
      <c r="D5" s="96"/>
      <c r="E5" s="96"/>
      <c r="G5" s="919" t="str">
        <f aca="false">PROPER('Sponsorships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13" t="s">
        <v>7998</v>
      </c>
      <c r="C7" s="1172" t="n">
        <v>0.82</v>
      </c>
      <c r="D7" s="1173" t="n">
        <v>1</v>
      </c>
      <c r="E7" s="1174" t="n">
        <v>1</v>
      </c>
      <c r="H7" s="565" t="s">
        <v>7999</v>
      </c>
    </row>
    <row r="8" customFormat="false" ht="16.5" hidden="false" customHeight="true" outlineLevel="0" collapsed="false">
      <c r="B8" s="126" t="s">
        <v>8000</v>
      </c>
      <c r="C8" s="927" t="n">
        <v>123000</v>
      </c>
      <c r="D8" s="928" t="n">
        <v>150000</v>
      </c>
      <c r="E8" s="929" t="n">
        <v>165000</v>
      </c>
      <c r="H8" s="565" t="s">
        <v>8001</v>
      </c>
    </row>
    <row r="9" customFormat="false" ht="16.5" hidden="false" customHeight="true" outlineLevel="0" collapsed="false">
      <c r="B9" s="126" t="s">
        <v>8002</v>
      </c>
      <c r="C9" s="923" t="n">
        <v>0.2805</v>
      </c>
      <c r="D9" s="924" t="n">
        <v>0.33</v>
      </c>
      <c r="E9" s="925" t="n">
        <v>0.363</v>
      </c>
      <c r="H9" s="565" t="s">
        <v>8003</v>
      </c>
    </row>
    <row r="10" customFormat="false" ht="15" hidden="false" customHeight="true" outlineLevel="0" collapsed="false">
      <c r="B10" s="6"/>
      <c r="E10" s="6"/>
    </row>
    <row r="11" customFormat="false" ht="16.5" hidden="false" customHeight="true" outlineLevel="0" collapsed="false">
      <c r="B11" s="113" t="s">
        <v>8004</v>
      </c>
      <c r="C11" s="1172" t="n">
        <v>2.46</v>
      </c>
      <c r="D11" s="1173" t="n">
        <v>3</v>
      </c>
      <c r="E11" s="1174" t="n">
        <v>3</v>
      </c>
      <c r="H11" s="565" t="s">
        <v>8005</v>
      </c>
    </row>
    <row r="12" customFormat="false" ht="16.5" hidden="false" customHeight="true" outlineLevel="0" collapsed="false">
      <c r="B12" s="113" t="s">
        <v>8006</v>
      </c>
      <c r="C12" s="927" t="n">
        <v>41000</v>
      </c>
      <c r="D12" s="928" t="n">
        <v>50000</v>
      </c>
      <c r="E12" s="929" t="n">
        <v>55000</v>
      </c>
      <c r="H12" s="565" t="s">
        <v>8007</v>
      </c>
    </row>
    <row r="13" customFormat="false" ht="16.5" hidden="false" customHeight="true" outlineLevel="0" collapsed="false">
      <c r="B13" s="126" t="s">
        <v>8008</v>
      </c>
      <c r="C13" s="923" t="n">
        <v>0.4505</v>
      </c>
      <c r="D13" s="924" t="n">
        <v>0.53</v>
      </c>
      <c r="E13" s="925" t="n">
        <v>0.583</v>
      </c>
      <c r="H13" s="565" t="s">
        <v>8009</v>
      </c>
    </row>
    <row r="14" customFormat="false" ht="15" hidden="false" customHeight="true" outlineLevel="0" collapsed="false">
      <c r="B14" s="6"/>
      <c r="E14" s="6"/>
    </row>
    <row r="15" customFormat="false" ht="16.5" hidden="false" customHeight="true" outlineLevel="0" collapsed="false">
      <c r="B15" s="113" t="s">
        <v>8010</v>
      </c>
      <c r="C15" s="1172" t="n">
        <v>4.1</v>
      </c>
      <c r="D15" s="1173" t="n">
        <v>5</v>
      </c>
      <c r="E15" s="1174" t="n">
        <v>5.5</v>
      </c>
      <c r="H15" s="565" t="s">
        <v>8011</v>
      </c>
    </row>
    <row r="16" customFormat="false" ht="16.5" hidden="false" customHeight="true" outlineLevel="0" collapsed="false">
      <c r="B16" s="113" t="s">
        <v>8012</v>
      </c>
      <c r="C16" s="927" t="n">
        <v>16400</v>
      </c>
      <c r="D16" s="928" t="n">
        <v>20000</v>
      </c>
      <c r="E16" s="929" t="n">
        <v>22000</v>
      </c>
      <c r="H16" s="565" t="s">
        <v>8013</v>
      </c>
    </row>
    <row r="17" customFormat="false" ht="16.5" hidden="false" customHeight="true" outlineLevel="0" collapsed="false">
      <c r="B17" s="126" t="s">
        <v>8014</v>
      </c>
      <c r="C17" s="923" t="n">
        <v>0.493</v>
      </c>
      <c r="D17" s="924" t="n">
        <v>0.58</v>
      </c>
      <c r="E17" s="925" t="n">
        <v>0.638</v>
      </c>
      <c r="H17" s="565" t="s">
        <v>8015</v>
      </c>
    </row>
    <row r="18" customFormat="false" ht="15" hidden="false" customHeight="true" outlineLevel="0" collapsed="false">
      <c r="B18" s="6"/>
      <c r="E18" s="6"/>
    </row>
    <row r="19" customFormat="false" ht="16.5" hidden="false" customHeight="true" outlineLevel="0" collapsed="false">
      <c r="B19" s="113" t="s">
        <v>8016</v>
      </c>
      <c r="C19" s="1172" t="n">
        <v>6.56</v>
      </c>
      <c r="D19" s="1173" t="n">
        <v>8</v>
      </c>
      <c r="E19" s="1174" t="n">
        <v>8.8</v>
      </c>
      <c r="H19" s="565" t="s">
        <v>8017</v>
      </c>
    </row>
    <row r="20" customFormat="false" ht="16.5" hidden="false" customHeight="true" outlineLevel="0" collapsed="false">
      <c r="B20" s="113" t="s">
        <v>8018</v>
      </c>
      <c r="C20" s="927" t="n">
        <v>8200</v>
      </c>
      <c r="D20" s="928" t="n">
        <v>10000</v>
      </c>
      <c r="E20" s="929" t="n">
        <v>11000</v>
      </c>
      <c r="H20" s="565" t="s">
        <v>8019</v>
      </c>
    </row>
    <row r="21" customFormat="false" ht="16.5" hidden="false" customHeight="true" outlineLevel="0" collapsed="false">
      <c r="B21" s="126" t="s">
        <v>8020</v>
      </c>
      <c r="C21" s="923" t="n">
        <v>0.528</v>
      </c>
      <c r="D21" s="924" t="n">
        <v>0.6</v>
      </c>
      <c r="E21" s="925" t="n">
        <v>0.648</v>
      </c>
      <c r="H21" s="565" t="s">
        <v>8021</v>
      </c>
    </row>
    <row r="22" customFormat="false" ht="15" hidden="false" customHeight="true" outlineLevel="0" collapsed="false">
      <c r="B22" s="6"/>
      <c r="E22" s="6"/>
    </row>
    <row r="23" customFormat="false" ht="16.5" hidden="false" customHeight="true" outlineLevel="0" collapsed="false">
      <c r="B23" s="113" t="s">
        <v>8022</v>
      </c>
      <c r="C23" s="1172" t="n">
        <v>1.64</v>
      </c>
      <c r="D23" s="1173" t="n">
        <v>2</v>
      </c>
      <c r="E23" s="1174" t="n">
        <v>2.2</v>
      </c>
      <c r="H23" s="565" t="s">
        <v>8023</v>
      </c>
    </row>
    <row r="24" customFormat="false" ht="16.5" hidden="false" customHeight="true" outlineLevel="0" collapsed="false">
      <c r="B24" s="126" t="s">
        <v>8024</v>
      </c>
      <c r="C24" s="927" t="n">
        <v>32800</v>
      </c>
      <c r="D24" s="928" t="n">
        <v>40000</v>
      </c>
      <c r="E24" s="929" t="n">
        <v>44000</v>
      </c>
      <c r="H24" s="565" t="s">
        <v>8025</v>
      </c>
    </row>
    <row r="25" customFormat="false" ht="16.5" hidden="false" customHeight="true" outlineLevel="0" collapsed="false">
      <c r="B25" s="126" t="s">
        <v>8026</v>
      </c>
      <c r="C25" s="923" t="n">
        <v>0.572</v>
      </c>
      <c r="D25" s="924" t="n">
        <v>0.65</v>
      </c>
      <c r="E25" s="925" t="n">
        <v>0.702</v>
      </c>
      <c r="H25" s="565" t="s">
        <v>8027</v>
      </c>
    </row>
    <row r="26" customFormat="false" ht="6" hidden="false" customHeight="true" outlineLevel="0" collapsed="false">
      <c r="B26" s="6"/>
      <c r="E26" s="6"/>
    </row>
    <row r="27" customFormat="false" ht="21.75" hidden="false" customHeight="true" outlineLevel="0" collapsed="false">
      <c r="B27" s="125" t="s">
        <v>6375</v>
      </c>
      <c r="C27" s="125"/>
      <c r="D27" s="125"/>
      <c r="E27" s="125"/>
      <c r="F27" s="125"/>
      <c r="G27" s="125"/>
      <c r="H27" s="125"/>
    </row>
    <row r="28" customFormat="false" ht="18" hidden="false" customHeight="true" outlineLevel="0" collapsed="false">
      <c r="B28" s="113" t="s">
        <v>8028</v>
      </c>
      <c r="C28" s="1175" t="n">
        <f aca="false">IF($G$5="Bear",C7,IF($G$5="Bull",E7,D7))</f>
        <v>1</v>
      </c>
      <c r="E28" s="6"/>
      <c r="H28" s="565" t="s">
        <v>8029</v>
      </c>
    </row>
    <row r="29" customFormat="false" ht="18" hidden="false" customHeight="true" outlineLevel="0" collapsed="false">
      <c r="B29" s="113" t="s">
        <v>8030</v>
      </c>
      <c r="C29" s="1176" t="n">
        <f aca="false">IF($G$5="Bear",C8,IF($G$5="Bull",E8,D8))</f>
        <v>150000</v>
      </c>
      <c r="E29" s="6"/>
      <c r="H29" s="565" t="s">
        <v>8029</v>
      </c>
    </row>
    <row r="30" customFormat="false" ht="18" hidden="false" customHeight="true" outlineLevel="0" collapsed="false">
      <c r="B30" s="113" t="s">
        <v>8031</v>
      </c>
      <c r="C30" s="1330" t="n">
        <f aca="false">IF($G$5="Bear",C9,IF($G$5="Bull",E9,D9))</f>
        <v>0.33</v>
      </c>
      <c r="E30" s="6"/>
      <c r="H30" s="565" t="s">
        <v>8029</v>
      </c>
    </row>
    <row r="31" customFormat="false" ht="18" hidden="false" customHeight="true" outlineLevel="0" collapsed="false">
      <c r="B31" s="113" t="s">
        <v>8032</v>
      </c>
      <c r="C31" s="1175" t="n">
        <f aca="false">IF($G$5="Bear",C11,IF($G$5="Bull",E11,D11))</f>
        <v>3</v>
      </c>
      <c r="E31" s="6"/>
      <c r="H31" s="565" t="s">
        <v>8033</v>
      </c>
    </row>
    <row r="32" customFormat="false" ht="18" hidden="false" customHeight="true" outlineLevel="0" collapsed="false">
      <c r="B32" s="113" t="s">
        <v>8034</v>
      </c>
      <c r="C32" s="1176" t="n">
        <f aca="false">IF($G$5="Bear",C12,IF($G$5="Bull",E12,D12))</f>
        <v>50000</v>
      </c>
      <c r="E32" s="6"/>
      <c r="H32" s="565" t="s">
        <v>8033</v>
      </c>
    </row>
    <row r="33" customFormat="false" ht="18" hidden="false" customHeight="true" outlineLevel="0" collapsed="false">
      <c r="B33" s="113" t="s">
        <v>8035</v>
      </c>
      <c r="C33" s="1330" t="n">
        <f aca="false">IF($G$5="Bear",C13,IF($G$5="Bull",E13,D13))</f>
        <v>0.53</v>
      </c>
      <c r="E33" s="6"/>
      <c r="H33" s="565" t="s">
        <v>8033</v>
      </c>
    </row>
    <row r="34" customFormat="false" ht="18" hidden="false" customHeight="true" outlineLevel="0" collapsed="false">
      <c r="B34" s="113" t="s">
        <v>8036</v>
      </c>
      <c r="C34" s="1175" t="n">
        <f aca="false">IF($G$5="Bear",C15,IF($G$5="Bull",E15,D15))</f>
        <v>5</v>
      </c>
      <c r="E34" s="6"/>
      <c r="H34" s="565" t="s">
        <v>8037</v>
      </c>
    </row>
    <row r="35" customFormat="false" ht="18" hidden="false" customHeight="true" outlineLevel="0" collapsed="false">
      <c r="B35" s="113" t="s">
        <v>8038</v>
      </c>
      <c r="C35" s="1176" t="n">
        <f aca="false">IF($G$5="Bear",C16,IF($G$5="Bull",E16,D16))</f>
        <v>20000</v>
      </c>
      <c r="E35" s="6"/>
      <c r="H35" s="565" t="s">
        <v>8037</v>
      </c>
    </row>
    <row r="36" customFormat="false" ht="18" hidden="false" customHeight="true" outlineLevel="0" collapsed="false">
      <c r="B36" s="113" t="s">
        <v>8039</v>
      </c>
      <c r="C36" s="1330" t="n">
        <f aca="false">IF($G$5="Bear",C17,IF($G$5="Bull",E17,D17))</f>
        <v>0.58</v>
      </c>
      <c r="E36" s="6"/>
      <c r="H36" s="565" t="s">
        <v>8037</v>
      </c>
    </row>
    <row r="37" customFormat="false" ht="18" hidden="false" customHeight="true" outlineLevel="0" collapsed="false">
      <c r="B37" s="113" t="s">
        <v>8040</v>
      </c>
      <c r="C37" s="1175" t="n">
        <f aca="false">IF($G$5="Bear",C19,IF($G$5="Bull",E19,D19))</f>
        <v>8</v>
      </c>
      <c r="E37" s="6"/>
      <c r="H37" s="565" t="s">
        <v>8041</v>
      </c>
    </row>
    <row r="38" customFormat="false" ht="18" hidden="false" customHeight="true" outlineLevel="0" collapsed="false">
      <c r="B38" s="113" t="s">
        <v>8042</v>
      </c>
      <c r="C38" s="1176" t="n">
        <f aca="false">IF($G$5="Bear",C20,IF($G$5="Bull",E20,D20))</f>
        <v>10000</v>
      </c>
      <c r="E38" s="6"/>
      <c r="H38" s="565" t="s">
        <v>8041</v>
      </c>
    </row>
    <row r="39" customFormat="false" ht="18" hidden="false" customHeight="true" outlineLevel="0" collapsed="false">
      <c r="B39" s="126" t="s">
        <v>8043</v>
      </c>
      <c r="C39" s="1330" t="n">
        <f aca="false">IF($G$5="Bear",C21,IF($G$5="Bull",E21,D21))</f>
        <v>0.6</v>
      </c>
      <c r="E39" s="6"/>
      <c r="H39" s="565" t="s">
        <v>8041</v>
      </c>
    </row>
    <row r="40" customFormat="false" ht="18" hidden="false" customHeight="true" outlineLevel="0" collapsed="false">
      <c r="B40" s="113" t="s">
        <v>8044</v>
      </c>
      <c r="C40" s="1175" t="n">
        <f aca="false">IF($G$5="Bear",C23,IF($G$5="Bull",E23,D23))</f>
        <v>2</v>
      </c>
      <c r="E40" s="6"/>
      <c r="H40" s="565" t="s">
        <v>8045</v>
      </c>
    </row>
    <row r="41" customFormat="false" ht="18" hidden="false" customHeight="true" outlineLevel="0" collapsed="false">
      <c r="B41" s="113" t="s">
        <v>8046</v>
      </c>
      <c r="C41" s="1176" t="n">
        <f aca="false">IF($G$5="Bear",C24,IF($G$5="Bull",E24,D24))</f>
        <v>40000</v>
      </c>
      <c r="E41" s="6"/>
      <c r="H41" s="565" t="s">
        <v>8045</v>
      </c>
    </row>
    <row r="42" customFormat="false" ht="18" hidden="false" customHeight="true" outlineLevel="0" collapsed="false">
      <c r="B42" s="113" t="s">
        <v>8047</v>
      </c>
      <c r="C42" s="1330" t="n">
        <f aca="false">IF($G$5="Bear",C25,IF($G$5="Bull",E25,D25))</f>
        <v>0.65</v>
      </c>
      <c r="E42" s="6"/>
      <c r="H42" s="565" t="s">
        <v>8045</v>
      </c>
    </row>
    <row r="43" customFormat="false" ht="6" hidden="false" customHeight="true" outlineLevel="0" collapsed="false">
      <c r="B43" s="6"/>
      <c r="E43" s="6"/>
    </row>
    <row r="44" customFormat="false" ht="33.75" hidden="false" customHeight="true" outlineLevel="0" collapsed="false">
      <c r="B44" s="125" t="s">
        <v>8048</v>
      </c>
      <c r="C44" s="125"/>
      <c r="D44" s="125"/>
      <c r="E44" s="125"/>
      <c r="F44" s="125"/>
      <c r="G44" s="125"/>
      <c r="H44" s="125"/>
    </row>
    <row r="45" customFormat="false" ht="16.5" hidden="false" customHeight="true" outlineLevel="0" collapsed="false">
      <c r="B45" s="905" t="s">
        <v>8049</v>
      </c>
      <c r="C45" s="1344" t="n">
        <f aca="false">C28*C29*C30</f>
        <v>49500</v>
      </c>
      <c r="E45" s="6"/>
      <c r="H45" s="565" t="s">
        <v>8050</v>
      </c>
    </row>
    <row r="46" customFormat="false" ht="16.5" hidden="false" customHeight="true" outlineLevel="0" collapsed="false">
      <c r="B46" s="905" t="s">
        <v>8051</v>
      </c>
      <c r="C46" s="1344" t="n">
        <f aca="false">C31*C32*C33</f>
        <v>79500</v>
      </c>
      <c r="E46" s="6"/>
      <c r="H46" s="565" t="s">
        <v>8052</v>
      </c>
    </row>
    <row r="47" customFormat="false" ht="16.5" hidden="false" customHeight="true" outlineLevel="0" collapsed="false">
      <c r="B47" s="905" t="s">
        <v>8053</v>
      </c>
      <c r="C47" s="1344" t="n">
        <f aca="false">C34*C35*C36</f>
        <v>58000</v>
      </c>
      <c r="E47" s="6"/>
      <c r="H47" s="565" t="s">
        <v>8052</v>
      </c>
    </row>
    <row r="48" customFormat="false" ht="16.5" hidden="false" customHeight="true" outlineLevel="0" collapsed="false">
      <c r="B48" s="113" t="s">
        <v>8054</v>
      </c>
      <c r="C48" s="976" t="n">
        <f aca="false">C37*C38*C39</f>
        <v>48000</v>
      </c>
      <c r="E48" s="6"/>
      <c r="H48" s="565" t="s">
        <v>8055</v>
      </c>
    </row>
    <row r="49" customFormat="false" ht="16.5" hidden="false" customHeight="true" outlineLevel="0" collapsed="false">
      <c r="B49" s="113" t="s">
        <v>8056</v>
      </c>
      <c r="C49" s="976" t="n">
        <f aca="false">C40*C41*C42</f>
        <v>52000</v>
      </c>
      <c r="E49" s="6"/>
      <c r="H49" s="565" t="s">
        <v>8057</v>
      </c>
    </row>
    <row r="50" customFormat="false" ht="16.5" hidden="false" customHeight="true" outlineLevel="0" collapsed="false">
      <c r="B50" s="905" t="s">
        <v>8058</v>
      </c>
      <c r="C50" s="1344" t="n">
        <f aca="false">C48+C49</f>
        <v>100000</v>
      </c>
      <c r="E50" s="6"/>
      <c r="H50" s="565" t="s">
        <v>8059</v>
      </c>
    </row>
    <row r="51" customFormat="false" ht="6" hidden="false" customHeight="true" outlineLevel="0" collapsed="false">
      <c r="B51" s="6"/>
      <c r="E51" s="6"/>
    </row>
    <row r="52" customFormat="false" ht="33.75" hidden="false" customHeight="true" outlineLevel="0" collapsed="false">
      <c r="B52" s="96" t="s">
        <v>8060</v>
      </c>
      <c r="C52" s="96"/>
      <c r="D52" s="96"/>
      <c r="E52" s="96"/>
      <c r="F52" s="96"/>
      <c r="G52" s="96"/>
      <c r="H52" s="96"/>
    </row>
    <row r="53" customFormat="false" ht="15" hidden="false" customHeight="true" outlineLevel="0" collapsed="false">
      <c r="B53" s="6"/>
      <c r="E53" s="6"/>
    </row>
    <row r="54" customFormat="false" ht="15" hidden="false" customHeight="true" outlineLevel="0" collapsed="false">
      <c r="B54" s="81" t="s">
        <v>4602</v>
      </c>
      <c r="E54" s="6"/>
    </row>
    <row r="55" customFormat="false" ht="16.5" hidden="false" customHeight="true" outlineLevel="0" collapsed="false">
      <c r="B55" s="126" t="s">
        <v>8061</v>
      </c>
      <c r="C55" s="945" t="n">
        <v>36000</v>
      </c>
      <c r="E55" s="6"/>
      <c r="H55" s="565" t="s">
        <v>8062</v>
      </c>
    </row>
    <row r="56" customFormat="false" ht="16.5" hidden="false" customHeight="true" outlineLevel="0" collapsed="false">
      <c r="B56" s="126" t="s">
        <v>8063</v>
      </c>
      <c r="C56" s="945" t="n">
        <v>12000</v>
      </c>
      <c r="E56" s="6"/>
      <c r="H56" s="565" t="s">
        <v>8064</v>
      </c>
    </row>
    <row r="57" customFormat="false" ht="16.5" hidden="false" customHeight="true" outlineLevel="0" collapsed="false">
      <c r="B57" s="126" t="s">
        <v>8065</v>
      </c>
      <c r="C57" s="945" t="n">
        <v>6000</v>
      </c>
      <c r="E57" s="6"/>
      <c r="H57" s="565" t="s">
        <v>8066</v>
      </c>
    </row>
    <row r="58" customFormat="false" ht="16.5" hidden="false" customHeight="true" outlineLevel="0" collapsed="false">
      <c r="B58" s="113" t="s">
        <v>8067</v>
      </c>
      <c r="C58" s="945" t="n">
        <v>6000</v>
      </c>
      <c r="E58" s="6"/>
      <c r="H58" s="565" t="s">
        <v>8068</v>
      </c>
    </row>
    <row r="59" customFormat="false" ht="15" hidden="false" customHeight="true" outlineLevel="0" collapsed="false">
      <c r="B59" s="6" t="s">
        <v>8069</v>
      </c>
      <c r="C59" s="0" t="n">
        <v>15000</v>
      </c>
      <c r="E59" s="6"/>
      <c r="H59" s="0" t="s">
        <v>8070</v>
      </c>
    </row>
    <row r="60" customFormat="false" ht="15" hidden="false" customHeight="true" outlineLevel="0" collapsed="false">
      <c r="B60" s="1076" t="s">
        <v>8071</v>
      </c>
      <c r="E60" s="6"/>
    </row>
    <row r="61" customFormat="false" ht="16.5" hidden="false" customHeight="true" outlineLevel="0" collapsed="false">
      <c r="B61" s="126" t="s">
        <v>8072</v>
      </c>
      <c r="C61" s="936" t="n">
        <v>0.05</v>
      </c>
      <c r="E61" s="6"/>
      <c r="H61" s="565" t="s">
        <v>8073</v>
      </c>
    </row>
    <row r="62" customFormat="false" ht="16.5" hidden="false" customHeight="true" outlineLevel="0" collapsed="false">
      <c r="B62" s="126" t="s">
        <v>8074</v>
      </c>
      <c r="C62" s="936" t="n">
        <v>0.03</v>
      </c>
      <c r="E62" s="6"/>
      <c r="H62" s="565" t="s">
        <v>8075</v>
      </c>
    </row>
    <row r="63" customFormat="false" ht="16.5" hidden="false" customHeight="true" outlineLevel="0" collapsed="false">
      <c r="B63" s="126" t="s">
        <v>8076</v>
      </c>
      <c r="C63" s="936" t="n">
        <v>0.02</v>
      </c>
      <c r="E63" s="6"/>
      <c r="H63" s="565" t="s">
        <v>8077</v>
      </c>
    </row>
    <row r="64" customFormat="false" ht="15" hidden="false" customHeight="true" outlineLevel="0" collapsed="false">
      <c r="B64" s="6" t="s">
        <v>8078</v>
      </c>
      <c r="C64" s="0" t="n">
        <v>8000</v>
      </c>
      <c r="E64" s="6"/>
      <c r="H64" s="0" t="s">
        <v>8079</v>
      </c>
    </row>
    <row r="65" customFormat="false" ht="15" hidden="false" customHeight="true" outlineLevel="0" collapsed="false">
      <c r="B65" s="6"/>
      <c r="E65" s="6"/>
    </row>
    <row r="66" customFormat="false" ht="21.75" hidden="false" customHeight="true" outlineLevel="0" collapsed="false">
      <c r="B66" s="96" t="s">
        <v>8080</v>
      </c>
      <c r="C66" s="96"/>
      <c r="D66" s="96"/>
      <c r="E66" s="96"/>
      <c r="F66" s="96"/>
      <c r="G66" s="96"/>
      <c r="H66" s="96"/>
      <c r="I66" s="96"/>
    </row>
    <row r="67" customFormat="false" ht="21.75" hidden="false" customHeight="true" outlineLevel="0" collapsed="false">
      <c r="B67" s="97" t="s">
        <v>738</v>
      </c>
      <c r="C67" s="98" t="s">
        <v>8081</v>
      </c>
      <c r="D67" s="98" t="s">
        <v>8082</v>
      </c>
      <c r="E67" s="99" t="s">
        <v>8083</v>
      </c>
      <c r="F67" s="98" t="s">
        <v>611</v>
      </c>
      <c r="G67" s="98" t="s">
        <v>669</v>
      </c>
    </row>
    <row r="68" customFormat="false" ht="15" hidden="false" customHeight="true" outlineLevel="0" collapsed="false">
      <c r="B68" s="126" t="s">
        <v>8084</v>
      </c>
      <c r="C68" s="547" t="n">
        <v>120000</v>
      </c>
      <c r="D68" s="547" t="n">
        <v>312500</v>
      </c>
      <c r="E68" s="1484" t="n">
        <v>432500</v>
      </c>
      <c r="F68" s="1239" t="n">
        <v>0</v>
      </c>
      <c r="G68" s="568" t="s">
        <v>4772</v>
      </c>
    </row>
    <row r="69" customFormat="false" ht="15" hidden="false" customHeight="true" outlineLevel="0" collapsed="false">
      <c r="B69" s="1485" t="s">
        <v>8085</v>
      </c>
      <c r="C69" s="1253" t="n">
        <v>0</v>
      </c>
      <c r="D69" s="1244" t="n">
        <v>312500</v>
      </c>
      <c r="E69" s="1486" t="n">
        <v>312500</v>
      </c>
      <c r="F69" s="1245" t="n">
        <v>-120000</v>
      </c>
      <c r="G69" s="811" t="s">
        <v>8086</v>
      </c>
    </row>
    <row r="70" customFormat="false" ht="15" hidden="false" customHeight="true" outlineLevel="0" collapsed="false">
      <c r="B70" s="1485" t="s">
        <v>8087</v>
      </c>
      <c r="C70" s="1253" t="n">
        <v>0</v>
      </c>
      <c r="D70" s="1244" t="n">
        <v>312500</v>
      </c>
      <c r="E70" s="1486" t="n">
        <v>312500</v>
      </c>
      <c r="F70" s="1245" t="n">
        <v>-120000</v>
      </c>
      <c r="G70" s="811" t="s">
        <v>8086</v>
      </c>
    </row>
    <row r="71" customFormat="false" ht="15" hidden="false" customHeight="true" outlineLevel="0" collapsed="false">
      <c r="B71" s="113" t="s">
        <v>8088</v>
      </c>
      <c r="C71" s="547" t="n">
        <v>240000</v>
      </c>
      <c r="D71" s="547" t="n">
        <v>312500</v>
      </c>
      <c r="E71" s="1484" t="n">
        <v>552500</v>
      </c>
      <c r="F71" s="1487" t="n">
        <v>120000</v>
      </c>
      <c r="G71" s="1488" t="s">
        <v>8089</v>
      </c>
    </row>
    <row r="72" customFormat="false" ht="15" hidden="false" customHeight="true" outlineLevel="0" collapsed="false">
      <c r="B72" s="6"/>
      <c r="E72" s="6"/>
    </row>
    <row r="73" customFormat="false" ht="120" hidden="false" customHeight="true" outlineLevel="0" collapsed="false">
      <c r="B73" s="602" t="s">
        <v>8090</v>
      </c>
      <c r="C73" s="602"/>
      <c r="D73" s="602"/>
      <c r="E73" s="602"/>
      <c r="F73" s="602"/>
      <c r="G73" s="602"/>
      <c r="H73" s="602"/>
      <c r="I73" s="602"/>
    </row>
  </sheetData>
  <mergeCells count="10">
    <mergeCell ref="B2:F2"/>
    <mergeCell ref="G2:J2"/>
    <mergeCell ref="B3:J3"/>
    <mergeCell ref="G4:H4"/>
    <mergeCell ref="B5:E5"/>
    <mergeCell ref="B27:H27"/>
    <mergeCell ref="B44:H44"/>
    <mergeCell ref="B52:H52"/>
    <mergeCell ref="B66:I66"/>
    <mergeCell ref="B73:I7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M7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66" activePane="bottomRight" state="frozen"/>
      <selection pane="topLeft" activeCell="A1" activeCellId="0" sqref="A1"/>
      <selection pane="topRight" activeCell="B1" activeCellId="0" sqref="B1"/>
      <selection pane="bottomLeft" activeCell="A66" activeCellId="0" sqref="A66"/>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21"/>
    <col collapsed="false" customWidth="true" hidden="false" outlineLevel="0" max="4" min="4" style="0" width="28.33"/>
    <col collapsed="false" customWidth="true" hidden="false" outlineLevel="0" max="6" min="5" style="0" width="21"/>
    <col collapsed="false" customWidth="true" hidden="false" outlineLevel="0" max="13" min="7" style="0" width="11"/>
  </cols>
  <sheetData>
    <row r="1" customFormat="false" ht="3.75" hidden="false" customHeight="true" outlineLevel="0" collapsed="false">
      <c r="B1" s="1"/>
      <c r="C1" s="2"/>
      <c r="D1" s="2"/>
      <c r="E1" s="2"/>
      <c r="F1" s="2"/>
      <c r="G1" s="1"/>
      <c r="H1" s="2"/>
      <c r="I1" s="2"/>
      <c r="J1" s="2"/>
      <c r="K1" s="2"/>
      <c r="L1" s="2"/>
      <c r="M1" s="2"/>
    </row>
    <row r="2" customFormat="false" ht="36" hidden="false" customHeight="true" outlineLevel="0" collapsed="false">
      <c r="B2" s="466" t="s">
        <v>1518</v>
      </c>
      <c r="C2" s="466"/>
      <c r="D2" s="466"/>
      <c r="E2" s="466"/>
      <c r="F2" s="466"/>
      <c r="G2" s="466"/>
      <c r="H2" s="466"/>
      <c r="I2" s="466"/>
      <c r="J2" s="467" t="s">
        <v>1519</v>
      </c>
      <c r="K2" s="467"/>
      <c r="L2" s="467"/>
      <c r="M2" s="467"/>
    </row>
    <row r="3" customFormat="false" ht="36" hidden="false" customHeight="true" outlineLevel="0" collapsed="false">
      <c r="B3" s="300" t="s">
        <v>1520</v>
      </c>
      <c r="C3" s="300"/>
      <c r="D3" s="300"/>
      <c r="E3" s="300"/>
      <c r="F3" s="300"/>
      <c r="G3" s="300"/>
      <c r="H3" s="300"/>
      <c r="I3" s="300"/>
      <c r="J3" s="300"/>
      <c r="K3" s="300"/>
      <c r="L3" s="300"/>
      <c r="M3" s="300"/>
    </row>
    <row r="4" customFormat="false" ht="15" hidden="false" customHeight="true" outlineLevel="0" collapsed="false">
      <c r="B4" s="6"/>
      <c r="G4" s="6"/>
    </row>
    <row r="5" customFormat="false" ht="18" hidden="false" customHeight="true" outlineLevel="0" collapsed="false">
      <c r="B5" s="309" t="s">
        <v>1521</v>
      </c>
      <c r="C5" s="309"/>
      <c r="D5" s="310" t="s">
        <v>5</v>
      </c>
      <c r="E5" s="310"/>
      <c r="F5" s="310" t="s">
        <v>1522</v>
      </c>
      <c r="G5" s="310"/>
      <c r="H5" s="310" t="s">
        <v>1523</v>
      </c>
      <c r="I5" s="310"/>
      <c r="J5" s="310" t="s">
        <v>1524</v>
      </c>
      <c r="K5" s="310"/>
    </row>
    <row r="6" customFormat="false" ht="21.75" hidden="false" customHeight="true" outlineLevel="0" collapsed="false">
      <c r="B6" s="468" t="n">
        <f aca="false">'Exec Summary'!C12</f>
        <v>6672022.15</v>
      </c>
      <c r="C6" s="468"/>
      <c r="D6" s="469" t="n">
        <f aca="false">'Exec Summary'!E12</f>
        <v>2261172.256525</v>
      </c>
      <c r="E6" s="469"/>
      <c r="F6" s="470" t="n">
        <f aca="false">'Exec Summary'!F12</f>
        <v>0.338903589599894</v>
      </c>
      <c r="G6" s="470"/>
      <c r="H6" s="471" t="s">
        <v>1525</v>
      </c>
      <c r="I6" s="471"/>
      <c r="J6" s="469" t="n">
        <f aca="false">G20</f>
        <v>1232635.28</v>
      </c>
      <c r="K6" s="469"/>
    </row>
    <row r="7" customFormat="false" ht="21.75" hidden="false" customHeight="true" outlineLevel="0" collapsed="false">
      <c r="B7" s="468"/>
      <c r="C7" s="468"/>
      <c r="D7" s="469"/>
      <c r="E7" s="469"/>
      <c r="F7" s="470"/>
      <c r="G7" s="470"/>
      <c r="H7" s="471"/>
      <c r="I7" s="471"/>
      <c r="J7" s="469"/>
      <c r="K7" s="469"/>
    </row>
    <row r="8" customFormat="false" ht="3.75" hidden="false" customHeight="true" outlineLevel="0" collapsed="false">
      <c r="B8" s="472"/>
      <c r="C8" s="472"/>
      <c r="D8" s="473"/>
      <c r="E8" s="473"/>
      <c r="F8" s="25"/>
      <c r="G8" s="25"/>
      <c r="H8" s="21"/>
      <c r="I8" s="21"/>
      <c r="J8" s="19"/>
      <c r="K8" s="19"/>
    </row>
    <row r="9" customFormat="false" ht="15" hidden="false" customHeight="true" outlineLevel="0" collapsed="false">
      <c r="B9" s="6"/>
      <c r="G9" s="6"/>
    </row>
    <row r="10" customFormat="false" ht="15" hidden="false" customHeight="true" outlineLevel="0" collapsed="false">
      <c r="B10" s="6"/>
      <c r="G10" s="6"/>
    </row>
    <row r="11" customFormat="false" ht="36" hidden="false" customHeight="true" outlineLevel="0" collapsed="false">
      <c r="B11" s="474" t="s">
        <v>1526</v>
      </c>
      <c r="C11" s="474"/>
      <c r="D11" s="474"/>
      <c r="E11" s="474"/>
      <c r="F11" s="474"/>
      <c r="G11" s="474"/>
      <c r="H11" s="474"/>
      <c r="I11" s="474"/>
      <c r="J11" s="474"/>
      <c r="K11" s="474"/>
      <c r="L11" s="474"/>
      <c r="M11" s="474"/>
    </row>
    <row r="12" customFormat="false" ht="27.75" hidden="false" customHeight="true" outlineLevel="0" collapsed="false">
      <c r="B12" s="475" t="s">
        <v>1527</v>
      </c>
      <c r="C12" s="476" t="s">
        <v>1528</v>
      </c>
      <c r="D12" s="476" t="s">
        <v>1529</v>
      </c>
      <c r="E12" s="476" t="s">
        <v>1530</v>
      </c>
      <c r="F12" s="476" t="s">
        <v>1531</v>
      </c>
      <c r="G12" s="475" t="s">
        <v>1532</v>
      </c>
      <c r="H12" s="476" t="s">
        <v>1533</v>
      </c>
      <c r="I12" s="476" t="s">
        <v>669</v>
      </c>
    </row>
    <row r="13" customFormat="false" ht="21.75" hidden="false" customHeight="true" outlineLevel="0" collapsed="false">
      <c r="B13" s="44" t="s">
        <v>612</v>
      </c>
      <c r="C13" s="477" t="s">
        <v>1534</v>
      </c>
      <c r="D13" s="478" t="s">
        <v>1535</v>
      </c>
      <c r="E13" s="479" t="s">
        <v>1536</v>
      </c>
      <c r="F13" s="480" t="n">
        <f aca="false">'Gaming · Drivers'!C16*'Academy · Drivers'!C24</f>
        <v>2795</v>
      </c>
      <c r="G13" s="481" t="n">
        <f aca="false">'Cross-Pillar'!E11</f>
        <v>260910</v>
      </c>
      <c r="H13" s="455" t="s">
        <v>614</v>
      </c>
      <c r="I13" s="482" t="s">
        <v>1537</v>
      </c>
    </row>
    <row r="14" customFormat="false" ht="15" hidden="false" customHeight="true" outlineLevel="0" collapsed="false">
      <c r="B14" s="44" t="s">
        <v>616</v>
      </c>
      <c r="C14" s="477" t="s">
        <v>1538</v>
      </c>
      <c r="D14" s="478" t="s">
        <v>1539</v>
      </c>
      <c r="E14" s="479" t="s">
        <v>1540</v>
      </c>
      <c r="F14" s="480" t="n">
        <f aca="false">'Museum · Drivers'!C55*'Museum · Drivers'!C59</f>
        <v>12770.88</v>
      </c>
      <c r="G14" s="481" t="n">
        <f aca="false">'Museum · Drivers'!C61</f>
        <v>76625.28</v>
      </c>
      <c r="H14" s="455" t="s">
        <v>618</v>
      </c>
      <c r="I14" s="482" t="s">
        <v>1537</v>
      </c>
    </row>
    <row r="15" customFormat="false" ht="15" hidden="false" customHeight="true" outlineLevel="0" collapsed="false">
      <c r="B15" s="44" t="s">
        <v>1541</v>
      </c>
      <c r="C15" s="477" t="s">
        <v>1538</v>
      </c>
      <c r="D15" s="478" t="s">
        <v>1542</v>
      </c>
      <c r="E15" s="479" t="s">
        <v>1543</v>
      </c>
      <c r="F15" s="480" t="n">
        <f aca="false">'Events · Drivers'!C24*'Events · Drivers'!C32*12</f>
        <v>33000</v>
      </c>
      <c r="G15" s="481" t="n">
        <f aca="false">'F&amp;B · Revenue'!E20</f>
        <v>237600</v>
      </c>
      <c r="H15" s="455" t="s">
        <v>618</v>
      </c>
      <c r="I15" s="482" t="s">
        <v>1537</v>
      </c>
    </row>
    <row r="16" customFormat="false" ht="21.75" hidden="false" customHeight="true" outlineLevel="0" collapsed="false">
      <c r="B16" s="44" t="s">
        <v>614</v>
      </c>
      <c r="C16" s="477" t="s">
        <v>1544</v>
      </c>
      <c r="D16" s="478" t="s">
        <v>1545</v>
      </c>
      <c r="E16" s="479" t="s">
        <v>1546</v>
      </c>
      <c r="F16" s="480" t="n">
        <f aca="false">'Borderless · Revenue'!E33</f>
        <v>110</v>
      </c>
      <c r="G16" s="481" t="n">
        <f aca="false">'Borderless · Revenue'!E7</f>
        <v>49500</v>
      </c>
      <c r="H16" s="455" t="s">
        <v>620</v>
      </c>
      <c r="I16" s="482" t="s">
        <v>1537</v>
      </c>
    </row>
    <row r="17" customFormat="false" ht="21.75" hidden="false" customHeight="true" outlineLevel="0" collapsed="false">
      <c r="B17" s="44" t="s">
        <v>1541</v>
      </c>
      <c r="C17" s="477" t="s">
        <v>1547</v>
      </c>
      <c r="D17" s="478" t="s">
        <v>1548</v>
      </c>
      <c r="E17" s="479" t="s">
        <v>1549</v>
      </c>
      <c r="F17" s="480" t="s">
        <v>1550</v>
      </c>
      <c r="G17" s="483" t="n">
        <v>0</v>
      </c>
      <c r="H17" s="455" t="s">
        <v>619</v>
      </c>
      <c r="I17" s="482" t="s">
        <v>1537</v>
      </c>
    </row>
    <row r="18" customFormat="false" ht="21.75" hidden="false" customHeight="true" outlineLevel="0" collapsed="false">
      <c r="B18" s="44" t="s">
        <v>619</v>
      </c>
      <c r="C18" s="477" t="s">
        <v>1551</v>
      </c>
      <c r="D18" s="478" t="s">
        <v>1552</v>
      </c>
      <c r="E18" s="479" t="s">
        <v>1553</v>
      </c>
      <c r="F18" s="480" t="s">
        <v>1554</v>
      </c>
      <c r="G18" s="481" t="n">
        <f aca="false">'Sponsorships · Revenue'!E27</f>
        <v>287000</v>
      </c>
      <c r="H18" s="455" t="s">
        <v>619</v>
      </c>
      <c r="I18" s="482" t="s">
        <v>1537</v>
      </c>
    </row>
    <row r="19" customFormat="false" ht="21.75" hidden="false" customHeight="true" outlineLevel="0" collapsed="false">
      <c r="B19" s="44" t="s">
        <v>617</v>
      </c>
      <c r="C19" s="477" t="s">
        <v>1555</v>
      </c>
      <c r="D19" s="478" t="s">
        <v>1556</v>
      </c>
      <c r="E19" s="479" t="s">
        <v>1557</v>
      </c>
      <c r="F19" s="480" t="n">
        <f aca="false">'Subleasing · Drivers'!C8</f>
        <v>6300</v>
      </c>
      <c r="G19" s="481" t="n">
        <f aca="false">'Subleasing · Revenue'!E30</f>
        <v>321000</v>
      </c>
      <c r="H19" s="455" t="s">
        <v>617</v>
      </c>
      <c r="I19" s="482" t="s">
        <v>1537</v>
      </c>
    </row>
    <row r="20" customFormat="false" ht="18" hidden="false" customHeight="true" outlineLevel="0" collapsed="false">
      <c r="B20" s="303" t="s">
        <v>1558</v>
      </c>
      <c r="C20" s="303"/>
      <c r="D20" s="303"/>
      <c r="E20" s="303"/>
      <c r="F20" s="303"/>
      <c r="G20" s="484" t="n">
        <f aca="false">SUM(G13:G19)</f>
        <v>1232635.28</v>
      </c>
      <c r="H20" s="485"/>
      <c r="I20" s="485"/>
    </row>
    <row r="21" customFormat="false" ht="15" hidden="false" customHeight="true" outlineLevel="0" collapsed="false">
      <c r="B21" s="6"/>
      <c r="G21" s="6"/>
    </row>
    <row r="22" customFormat="false" ht="15" hidden="false" customHeight="true" outlineLevel="0" collapsed="false">
      <c r="B22" s="6"/>
      <c r="G22" s="6"/>
    </row>
    <row r="23" customFormat="false" ht="25.5" hidden="false" customHeight="true" outlineLevel="0" collapsed="false">
      <c r="B23" s="474" t="s">
        <v>1559</v>
      </c>
      <c r="C23" s="474"/>
      <c r="D23" s="474"/>
      <c r="E23" s="474"/>
      <c r="F23" s="474"/>
      <c r="G23" s="474"/>
      <c r="H23" s="474"/>
      <c r="I23" s="474"/>
      <c r="J23" s="474"/>
      <c r="K23" s="474"/>
      <c r="L23" s="474"/>
      <c r="M23" s="474"/>
    </row>
    <row r="24" customFormat="false" ht="18" hidden="false" customHeight="true" outlineLevel="0" collapsed="false">
      <c r="B24" s="486" t="s">
        <v>1560</v>
      </c>
      <c r="C24" s="487" t="s">
        <v>1561</v>
      </c>
      <c r="E24" s="488" t="s">
        <v>1562</v>
      </c>
      <c r="G24" s="489" t="s">
        <v>1563</v>
      </c>
      <c r="I24" s="490" t="s">
        <v>1564</v>
      </c>
    </row>
    <row r="25" customFormat="false" ht="15" hidden="false" customHeight="true" outlineLevel="0" collapsed="false">
      <c r="B25" s="6"/>
      <c r="G25" s="6"/>
    </row>
    <row r="26" customFormat="false" ht="21.75" hidden="false" customHeight="true" outlineLevel="0" collapsed="false">
      <c r="B26" s="491" t="s">
        <v>1565</v>
      </c>
      <c r="C26" s="491"/>
      <c r="D26" s="93" t="s">
        <v>1566</v>
      </c>
      <c r="E26" s="492" t="s">
        <v>1567</v>
      </c>
      <c r="F26" s="492"/>
      <c r="G26" s="493" t="s">
        <v>1566</v>
      </c>
      <c r="H26" s="494" t="s">
        <v>1568</v>
      </c>
      <c r="I26" s="494"/>
    </row>
    <row r="27" customFormat="false" ht="21.75" hidden="false" customHeight="true" outlineLevel="0" collapsed="false">
      <c r="B27" s="491"/>
      <c r="C27" s="491"/>
      <c r="D27" s="495" t="s">
        <v>1569</v>
      </c>
      <c r="E27" s="492"/>
      <c r="F27" s="492"/>
      <c r="G27" s="496" t="s">
        <v>1570</v>
      </c>
      <c r="H27" s="494"/>
      <c r="I27" s="494"/>
    </row>
    <row r="28" customFormat="false" ht="21.75" hidden="false" customHeight="true" outlineLevel="0" collapsed="false">
      <c r="B28" s="6"/>
      <c r="G28" s="6"/>
    </row>
    <row r="29" customFormat="false" ht="21.75" hidden="false" customHeight="true" outlineLevel="0" collapsed="false">
      <c r="B29" s="491" t="s">
        <v>1571</v>
      </c>
      <c r="C29" s="491"/>
      <c r="D29" s="93" t="s">
        <v>1566</v>
      </c>
      <c r="E29" s="497" t="s">
        <v>618</v>
      </c>
      <c r="F29" s="497"/>
      <c r="G29" s="493" t="s">
        <v>1572</v>
      </c>
      <c r="H29" s="492" t="s">
        <v>1573</v>
      </c>
      <c r="I29" s="492"/>
    </row>
    <row r="30" customFormat="false" ht="21.75" hidden="false" customHeight="true" outlineLevel="0" collapsed="false">
      <c r="B30" s="491"/>
      <c r="C30" s="491"/>
      <c r="D30" s="495" t="s">
        <v>1574</v>
      </c>
      <c r="E30" s="497"/>
      <c r="F30" s="497"/>
      <c r="G30" s="496" t="s">
        <v>1575</v>
      </c>
      <c r="H30" s="492"/>
      <c r="I30" s="492"/>
    </row>
    <row r="31" customFormat="false" ht="21.75" hidden="false" customHeight="true" outlineLevel="0" collapsed="false">
      <c r="B31" s="6"/>
      <c r="G31" s="6"/>
    </row>
    <row r="32" customFormat="false" ht="21.75" hidden="false" customHeight="true" outlineLevel="0" collapsed="false">
      <c r="B32" s="491" t="s">
        <v>1573</v>
      </c>
      <c r="C32" s="491"/>
      <c r="D32" s="93" t="s">
        <v>1566</v>
      </c>
      <c r="E32" s="497" t="s">
        <v>1576</v>
      </c>
      <c r="F32" s="497"/>
      <c r="G32" s="493" t="s">
        <v>1566</v>
      </c>
      <c r="H32" s="494" t="s">
        <v>1577</v>
      </c>
      <c r="I32" s="494"/>
    </row>
    <row r="33" customFormat="false" ht="21.75" hidden="false" customHeight="true" outlineLevel="0" collapsed="false">
      <c r="B33" s="491"/>
      <c r="C33" s="491"/>
      <c r="D33" s="495" t="s">
        <v>1578</v>
      </c>
      <c r="E33" s="497"/>
      <c r="F33" s="497"/>
      <c r="G33" s="496" t="s">
        <v>1579</v>
      </c>
      <c r="H33" s="494"/>
      <c r="I33" s="494"/>
    </row>
    <row r="34" customFormat="false" ht="21.75" hidden="false" customHeight="true" outlineLevel="0" collapsed="false">
      <c r="B34" s="6"/>
      <c r="G34" s="6"/>
    </row>
    <row r="35" customFormat="false" ht="21.75" hidden="false" customHeight="true" outlineLevel="0" collapsed="false">
      <c r="B35" s="498" t="s">
        <v>1580</v>
      </c>
      <c r="C35" s="498"/>
      <c r="D35" s="93" t="s">
        <v>1566</v>
      </c>
      <c r="E35" s="499" t="s">
        <v>1581</v>
      </c>
      <c r="F35" s="499"/>
      <c r="G35" s="6"/>
    </row>
    <row r="36" customFormat="false" ht="21.75" hidden="false" customHeight="true" outlineLevel="0" collapsed="false">
      <c r="B36" s="498"/>
      <c r="C36" s="498"/>
      <c r="D36" s="495" t="s">
        <v>1582</v>
      </c>
      <c r="E36" s="499"/>
      <c r="F36" s="499"/>
      <c r="G36" s="6"/>
    </row>
    <row r="37" customFormat="false" ht="15" hidden="false" customHeight="true" outlineLevel="0" collapsed="false">
      <c r="B37" s="6"/>
      <c r="G37" s="6"/>
    </row>
    <row r="38" customFormat="false" ht="15" hidden="false" customHeight="true" outlineLevel="0" collapsed="false">
      <c r="B38" s="6"/>
      <c r="G38" s="6"/>
    </row>
    <row r="39" customFormat="false" ht="25.5" hidden="false" customHeight="true" outlineLevel="0" collapsed="false">
      <c r="B39" s="474" t="s">
        <v>1583</v>
      </c>
      <c r="C39" s="474"/>
      <c r="D39" s="474"/>
      <c r="E39" s="474"/>
      <c r="F39" s="474"/>
      <c r="G39" s="474"/>
      <c r="H39" s="474"/>
      <c r="I39" s="474"/>
      <c r="J39" s="474"/>
      <c r="K39" s="474"/>
      <c r="L39" s="474"/>
      <c r="M39" s="474"/>
    </row>
    <row r="40" customFormat="false" ht="66" hidden="false" customHeight="true" outlineLevel="0" collapsed="false">
      <c r="B40" s="500" t="s">
        <v>1584</v>
      </c>
      <c r="C40" s="500"/>
      <c r="D40" s="500"/>
      <c r="E40" s="500"/>
      <c r="F40" s="500"/>
      <c r="G40" s="500"/>
      <c r="H40" s="500"/>
      <c r="I40" s="500"/>
      <c r="J40" s="500"/>
      <c r="K40" s="500"/>
      <c r="L40" s="500"/>
      <c r="M40" s="500"/>
    </row>
    <row r="41" customFormat="false" ht="15" hidden="false" customHeight="true" outlineLevel="0" collapsed="false">
      <c r="B41" s="6"/>
      <c r="G41" s="6"/>
    </row>
    <row r="42" customFormat="false" ht="15" hidden="false" customHeight="true" outlineLevel="0" collapsed="false">
      <c r="B42" s="6"/>
      <c r="G42" s="6"/>
    </row>
    <row r="43" customFormat="false" ht="25.5" hidden="false" customHeight="true" outlineLevel="0" collapsed="false">
      <c r="B43" s="474" t="s">
        <v>1585</v>
      </c>
      <c r="C43" s="474"/>
      <c r="D43" s="474"/>
      <c r="E43" s="474"/>
      <c r="F43" s="474"/>
      <c r="G43" s="474"/>
      <c r="H43" s="474"/>
      <c r="I43" s="474"/>
      <c r="J43" s="474"/>
      <c r="K43" s="474"/>
      <c r="L43" s="474"/>
      <c r="M43" s="474"/>
    </row>
    <row r="44" customFormat="false" ht="51" hidden="false" customHeight="true" outlineLevel="0" collapsed="false">
      <c r="B44" s="302" t="s">
        <v>1586</v>
      </c>
      <c r="C44" s="302"/>
      <c r="D44" s="302"/>
      <c r="E44" s="302"/>
      <c r="F44" s="302"/>
      <c r="G44" s="302"/>
      <c r="H44" s="302"/>
      <c r="I44" s="302"/>
      <c r="J44" s="302"/>
      <c r="K44" s="302"/>
      <c r="L44" s="302"/>
      <c r="M44" s="302"/>
    </row>
    <row r="45" customFormat="false" ht="51" hidden="false" customHeight="true" outlineLevel="0" collapsed="false">
      <c r="B45" s="302" t="s">
        <v>1587</v>
      </c>
      <c r="C45" s="302"/>
      <c r="D45" s="302"/>
      <c r="E45" s="302"/>
      <c r="F45" s="302"/>
      <c r="G45" s="302"/>
      <c r="H45" s="302"/>
      <c r="I45" s="302"/>
      <c r="J45" s="302"/>
      <c r="K45" s="302"/>
      <c r="L45" s="302"/>
      <c r="M45" s="302"/>
    </row>
    <row r="46" customFormat="false" ht="66" hidden="false" customHeight="true" outlineLevel="0" collapsed="false">
      <c r="B46" s="302" t="s">
        <v>1588</v>
      </c>
      <c r="C46" s="302"/>
      <c r="D46" s="302"/>
      <c r="E46" s="302"/>
      <c r="F46" s="302"/>
      <c r="G46" s="302"/>
      <c r="H46" s="302"/>
      <c r="I46" s="302"/>
      <c r="J46" s="302"/>
      <c r="K46" s="302"/>
      <c r="L46" s="302"/>
      <c r="M46" s="302"/>
    </row>
    <row r="47" customFormat="false" ht="15" hidden="false" customHeight="true" outlineLevel="0" collapsed="false">
      <c r="B47" s="6"/>
      <c r="G47" s="6"/>
    </row>
    <row r="48" customFormat="false" ht="15" hidden="false" customHeight="true" outlineLevel="0" collapsed="false">
      <c r="B48" s="6"/>
      <c r="G48" s="6"/>
    </row>
    <row r="49" customFormat="false" ht="36" hidden="false" customHeight="true" outlineLevel="0" collapsed="false">
      <c r="B49" s="474" t="s">
        <v>1589</v>
      </c>
      <c r="C49" s="474"/>
      <c r="D49" s="474"/>
      <c r="E49" s="474"/>
      <c r="F49" s="474"/>
      <c r="G49" s="474"/>
      <c r="H49" s="474"/>
      <c r="I49" s="474"/>
      <c r="J49" s="474"/>
      <c r="K49" s="474"/>
      <c r="L49" s="474"/>
      <c r="M49" s="474"/>
    </row>
    <row r="50" customFormat="false" ht="25.5" hidden="false" customHeight="true" outlineLevel="0" collapsed="false">
      <c r="B50" s="501" t="s">
        <v>1590</v>
      </c>
      <c r="C50" s="501"/>
      <c r="D50" s="502" t="s">
        <v>1591</v>
      </c>
      <c r="E50" s="502"/>
      <c r="F50" s="502" t="s">
        <v>1592</v>
      </c>
      <c r="G50" s="502"/>
      <c r="H50" s="502" t="s">
        <v>102</v>
      </c>
      <c r="I50" s="502"/>
      <c r="J50" s="502" t="s">
        <v>1593</v>
      </c>
      <c r="K50" s="502"/>
      <c r="L50" s="502"/>
      <c r="M50" s="502"/>
    </row>
    <row r="51" customFormat="false" ht="37.5" hidden="false" customHeight="true" outlineLevel="0" collapsed="false">
      <c r="B51" s="304" t="s">
        <v>1594</v>
      </c>
      <c r="C51" s="304"/>
      <c r="D51" s="503" t="s">
        <v>1595</v>
      </c>
      <c r="E51" s="503"/>
      <c r="F51" s="504" t="n">
        <f aca="false">'Gaming · Drivers'!C15</f>
        <v>1075</v>
      </c>
      <c r="G51" s="504"/>
      <c r="H51" s="505" t="s">
        <v>1596</v>
      </c>
      <c r="I51" s="505"/>
      <c r="J51" s="506" t="s">
        <v>1597</v>
      </c>
      <c r="K51" s="506"/>
      <c r="L51" s="506"/>
      <c r="M51" s="506"/>
    </row>
    <row r="52" customFormat="false" ht="37.5" hidden="false" customHeight="true" outlineLevel="0" collapsed="false">
      <c r="B52" s="304" t="s">
        <v>1598</v>
      </c>
      <c r="C52" s="304"/>
      <c r="D52" s="503" t="s">
        <v>1599</v>
      </c>
      <c r="E52" s="503"/>
      <c r="F52" s="507" t="n">
        <f aca="false">'Events · Drivers'!C32</f>
        <v>11</v>
      </c>
      <c r="G52" s="507"/>
      <c r="H52" s="508" t="s">
        <v>1600</v>
      </c>
      <c r="I52" s="508"/>
      <c r="J52" s="506" t="s">
        <v>1601</v>
      </c>
      <c r="K52" s="506"/>
      <c r="L52" s="506"/>
      <c r="M52" s="506"/>
    </row>
    <row r="53" customFormat="false" ht="37.5" hidden="false" customHeight="true" outlineLevel="0" collapsed="false">
      <c r="B53" s="304" t="s">
        <v>1602</v>
      </c>
      <c r="C53" s="304"/>
      <c r="D53" s="503" t="s">
        <v>1603</v>
      </c>
      <c r="E53" s="503"/>
      <c r="F53" s="509" t="n">
        <f aca="false">'Academy · Drivers'!C24</f>
        <v>0.05</v>
      </c>
      <c r="G53" s="509"/>
      <c r="H53" s="510" t="s">
        <v>1604</v>
      </c>
      <c r="I53" s="510"/>
      <c r="J53" s="506" t="s">
        <v>1605</v>
      </c>
      <c r="K53" s="506"/>
      <c r="L53" s="506"/>
      <c r="M53" s="506"/>
    </row>
    <row r="54" customFormat="false" ht="37.5" hidden="false" customHeight="true" outlineLevel="0" collapsed="false">
      <c r="B54" s="304" t="s">
        <v>1606</v>
      </c>
      <c r="C54" s="304"/>
      <c r="D54" s="503" t="s">
        <v>1607</v>
      </c>
      <c r="E54" s="503"/>
      <c r="F54" s="509" t="n">
        <f aca="false">'F&amp;B · Drivers'!C32</f>
        <v>0.32</v>
      </c>
      <c r="G54" s="509"/>
      <c r="H54" s="510" t="s">
        <v>1604</v>
      </c>
      <c r="I54" s="510"/>
      <c r="J54" s="506" t="s">
        <v>1608</v>
      </c>
      <c r="K54" s="506"/>
      <c r="L54" s="506"/>
      <c r="M54" s="506"/>
    </row>
    <row r="55" customFormat="false" ht="37.5" hidden="false" customHeight="true" outlineLevel="0" collapsed="false">
      <c r="B55" s="304" t="s">
        <v>1609</v>
      </c>
      <c r="C55" s="304"/>
      <c r="D55" s="503" t="s">
        <v>1610</v>
      </c>
      <c r="E55" s="503"/>
      <c r="F55" s="511" t="n">
        <f aca="false">'Sponsorships · Drivers'!C28</f>
        <v>1</v>
      </c>
      <c r="G55" s="511"/>
      <c r="H55" s="505" t="s">
        <v>1596</v>
      </c>
      <c r="I55" s="505"/>
      <c r="J55" s="506" t="s">
        <v>1611</v>
      </c>
      <c r="K55" s="506"/>
      <c r="L55" s="506"/>
      <c r="M55" s="506"/>
    </row>
    <row r="56" customFormat="false" ht="66" hidden="false" customHeight="true" outlineLevel="0" collapsed="false">
      <c r="B56" s="512" t="s">
        <v>1612</v>
      </c>
      <c r="C56" s="512"/>
      <c r="D56" s="512"/>
      <c r="E56" s="512"/>
      <c r="F56" s="512"/>
      <c r="G56" s="512"/>
      <c r="H56" s="512"/>
      <c r="I56" s="512"/>
      <c r="J56" s="512"/>
      <c r="K56" s="512"/>
      <c r="L56" s="512"/>
      <c r="M56" s="512"/>
    </row>
    <row r="57" customFormat="false" ht="15" hidden="false" customHeight="true" outlineLevel="0" collapsed="false">
      <c r="B57" s="6"/>
      <c r="G57" s="6"/>
    </row>
    <row r="58" customFormat="false" ht="15" hidden="false" customHeight="true" outlineLevel="0" collapsed="false">
      <c r="B58" s="6"/>
      <c r="G58" s="6"/>
    </row>
    <row r="59" customFormat="false" ht="36" hidden="false" customHeight="true" outlineLevel="0" collapsed="false">
      <c r="B59" s="474" t="s">
        <v>1613</v>
      </c>
      <c r="C59" s="474"/>
      <c r="D59" s="474"/>
      <c r="E59" s="474"/>
      <c r="F59" s="474"/>
      <c r="G59" s="474"/>
      <c r="H59" s="474"/>
      <c r="I59" s="474"/>
      <c r="J59" s="474"/>
      <c r="K59" s="474"/>
      <c r="L59" s="474"/>
      <c r="M59" s="474"/>
    </row>
    <row r="60" customFormat="false" ht="25.5" hidden="false" customHeight="true" outlineLevel="0" collapsed="false">
      <c r="B60" s="501" t="s">
        <v>1614</v>
      </c>
      <c r="C60" s="501"/>
      <c r="D60" s="501"/>
      <c r="E60" s="502" t="s">
        <v>1615</v>
      </c>
      <c r="F60" s="502"/>
      <c r="G60" s="502"/>
      <c r="H60" s="502" t="s">
        <v>1616</v>
      </c>
      <c r="I60" s="502"/>
      <c r="J60" s="502"/>
      <c r="K60" s="502" t="s">
        <v>1617</v>
      </c>
      <c r="L60" s="502"/>
      <c r="M60" s="502"/>
    </row>
    <row r="61" customFormat="false" ht="42" hidden="false" customHeight="true" outlineLevel="0" collapsed="false">
      <c r="B61" s="513" t="s">
        <v>1618</v>
      </c>
      <c r="C61" s="513"/>
      <c r="D61" s="513"/>
      <c r="E61" s="33" t="s">
        <v>1619</v>
      </c>
      <c r="F61" s="33"/>
      <c r="G61" s="33"/>
      <c r="H61" s="514" t="s">
        <v>1620</v>
      </c>
      <c r="I61" s="514"/>
      <c r="J61" s="514"/>
      <c r="K61" s="515" t="s">
        <v>1621</v>
      </c>
      <c r="L61" s="515"/>
      <c r="M61" s="515"/>
    </row>
    <row r="62" customFormat="false" ht="42" hidden="false" customHeight="true" outlineLevel="0" collapsed="false">
      <c r="B62" s="513" t="s">
        <v>1622</v>
      </c>
      <c r="C62" s="513"/>
      <c r="D62" s="513"/>
      <c r="E62" s="33" t="s">
        <v>1623</v>
      </c>
      <c r="F62" s="33"/>
      <c r="G62" s="33"/>
      <c r="H62" s="516" t="str">
        <f aca="false">"↓↓ Platform impact (Events margin "&amp;TEXT(1-'Master Cost'!D8,"0%")&amp;", "&amp;TEXT('Master Revenue'!D8/'Master Revenue'!D17,"0%")&amp;" of revenue)"</f>
        <v>↓↓ Platform impact (Events margin 67%, 18% of revenue)</v>
      </c>
      <c r="K62" s="515" t="s">
        <v>1624</v>
      </c>
      <c r="L62" s="515"/>
      <c r="M62" s="515"/>
    </row>
    <row r="63" customFormat="false" ht="42" hidden="false" customHeight="true" outlineLevel="0" collapsed="false">
      <c r="B63" s="513" t="s">
        <v>1625</v>
      </c>
      <c r="C63" s="513"/>
      <c r="D63" s="513"/>
      <c r="E63" s="33" t="s">
        <v>1626</v>
      </c>
      <c r="F63" s="33"/>
      <c r="G63" s="33"/>
      <c r="H63" s="514" t="s">
        <v>1627</v>
      </c>
      <c r="I63" s="514"/>
      <c r="J63" s="514"/>
      <c r="K63" s="515" t="s">
        <v>1628</v>
      </c>
      <c r="L63" s="515"/>
      <c r="M63" s="515"/>
    </row>
    <row r="64" customFormat="false" ht="42" hidden="false" customHeight="true" outlineLevel="0" collapsed="false">
      <c r="B64" s="517" t="s">
        <v>1629</v>
      </c>
      <c r="C64" s="517"/>
      <c r="D64" s="517"/>
      <c r="E64" s="33" t="s">
        <v>1630</v>
      </c>
      <c r="F64" s="33"/>
      <c r="G64" s="33"/>
      <c r="H64" s="514" t="s">
        <v>1631</v>
      </c>
      <c r="I64" s="514"/>
      <c r="J64" s="514"/>
      <c r="K64" s="515" t="s">
        <v>1632</v>
      </c>
      <c r="L64" s="515"/>
      <c r="M64" s="515"/>
    </row>
    <row r="65" customFormat="false" ht="42" hidden="false" customHeight="true" outlineLevel="0" collapsed="false">
      <c r="B65" s="513" t="s">
        <v>1633</v>
      </c>
      <c r="C65" s="513"/>
      <c r="D65" s="513"/>
      <c r="E65" s="33" t="s">
        <v>1634</v>
      </c>
      <c r="F65" s="33"/>
      <c r="G65" s="33"/>
      <c r="H65" s="514" t="s">
        <v>1635</v>
      </c>
      <c r="I65" s="514"/>
      <c r="J65" s="514"/>
      <c r="K65" s="515" t="s">
        <v>1636</v>
      </c>
      <c r="L65" s="515"/>
      <c r="M65" s="515"/>
    </row>
    <row r="66" customFormat="false" ht="96" hidden="false" customHeight="true" outlineLevel="0" collapsed="false">
      <c r="B66" s="512" t="s">
        <v>1637</v>
      </c>
      <c r="C66" s="512"/>
      <c r="D66" s="512"/>
      <c r="E66" s="512"/>
      <c r="F66" s="512"/>
      <c r="G66" s="512"/>
      <c r="H66" s="512"/>
      <c r="I66" s="512"/>
      <c r="J66" s="512"/>
      <c r="K66" s="512"/>
      <c r="L66" s="512"/>
      <c r="M66" s="512"/>
    </row>
    <row r="67" customFormat="false" ht="15" hidden="false" customHeight="true" outlineLevel="0" collapsed="false">
      <c r="B67" s="6"/>
      <c r="G67" s="6"/>
    </row>
    <row r="68" customFormat="false" ht="15" hidden="false" customHeight="true" outlineLevel="0" collapsed="false">
      <c r="B68" s="6"/>
      <c r="G68" s="6"/>
    </row>
    <row r="69" customFormat="false" ht="36" hidden="false" customHeight="true" outlineLevel="0" collapsed="false">
      <c r="B69" s="474" t="s">
        <v>1638</v>
      </c>
      <c r="C69" s="474"/>
      <c r="D69" s="474"/>
      <c r="E69" s="474"/>
      <c r="F69" s="474"/>
      <c r="G69" s="474"/>
      <c r="H69" s="474"/>
      <c r="I69" s="474"/>
      <c r="J69" s="474"/>
      <c r="K69" s="474"/>
      <c r="L69" s="474"/>
      <c r="M69" s="474"/>
    </row>
    <row r="70" customFormat="false" ht="25.5" hidden="false" customHeight="true" outlineLevel="0" collapsed="false">
      <c r="B70" s="475" t="s">
        <v>1639</v>
      </c>
      <c r="C70" s="502" t="s">
        <v>1640</v>
      </c>
      <c r="D70" s="502"/>
      <c r="E70" s="502"/>
      <c r="F70" s="502" t="s">
        <v>1593</v>
      </c>
      <c r="G70" s="502"/>
      <c r="H70" s="502"/>
      <c r="I70" s="502" t="s">
        <v>1641</v>
      </c>
      <c r="J70" s="502"/>
      <c r="K70" s="502"/>
      <c r="L70" s="502" t="s">
        <v>1642</v>
      </c>
      <c r="M70" s="502"/>
    </row>
    <row r="71" customFormat="false" ht="25.5" hidden="false" customHeight="true" outlineLevel="0" collapsed="false">
      <c r="B71" s="518" t="n">
        <v>1</v>
      </c>
      <c r="C71" s="519" t="s">
        <v>1643</v>
      </c>
      <c r="D71" s="519"/>
      <c r="E71" s="519"/>
      <c r="F71" s="520" t="n">
        <f aca="false">MASTER_FLOW_DASHBOARD!G18</f>
        <v>287000</v>
      </c>
      <c r="G71" s="520"/>
      <c r="H71" s="520"/>
      <c r="I71" s="509" t="n">
        <f aca="false">F71/MASTER_FLOW_DASHBOARD!G20</f>
        <v>0.232834484503802</v>
      </c>
      <c r="J71" s="509"/>
      <c r="K71" s="509"/>
      <c r="L71" s="521" t="str">
        <f aca="false">REPT("█",ROUND(F71/MASTER_FLOW_DASHBOARD!G20*30,0))</f>
        <v>███████</v>
      </c>
      <c r="M71" s="521"/>
    </row>
    <row r="72" customFormat="false" ht="25.5" hidden="false" customHeight="true" outlineLevel="0" collapsed="false">
      <c r="B72" s="518" t="n">
        <v>2</v>
      </c>
      <c r="C72" s="519" t="s">
        <v>1644</v>
      </c>
      <c r="D72" s="519"/>
      <c r="E72" s="519"/>
      <c r="F72" s="520" t="n">
        <f aca="false">MASTER_FLOW_DASHBOARD!G15</f>
        <v>237600</v>
      </c>
      <c r="G72" s="520"/>
      <c r="H72" s="520"/>
      <c r="I72" s="509" t="n">
        <f aca="false">F72/MASTER_FLOW_DASHBOARD!G20</f>
        <v>0.192757747449838</v>
      </c>
      <c r="J72" s="509"/>
      <c r="K72" s="509"/>
      <c r="L72" s="521" t="str">
        <f aca="false">REPT("█",ROUND(F72/MASTER_FLOW_DASHBOARD!G20*30,0))</f>
        <v>██████</v>
      </c>
      <c r="M72" s="521"/>
    </row>
    <row r="73" customFormat="false" ht="25.5" hidden="false" customHeight="true" outlineLevel="0" collapsed="false">
      <c r="B73" s="518" t="n">
        <v>3</v>
      </c>
      <c r="C73" s="519" t="s">
        <v>1645</v>
      </c>
      <c r="D73" s="519"/>
      <c r="E73" s="519"/>
      <c r="F73" s="520" t="n">
        <f aca="false">MASTER_FLOW_DASHBOARD!G13</f>
        <v>260910</v>
      </c>
      <c r="G73" s="520"/>
      <c r="H73" s="520"/>
      <c r="I73" s="509" t="n">
        <f aca="false">F73/MASTER_FLOW_DASHBOARD!G20</f>
        <v>0.211668450703439</v>
      </c>
      <c r="J73" s="509"/>
      <c r="K73" s="509"/>
      <c r="L73" s="521" t="str">
        <f aca="false">REPT("█",ROUND(F73/MASTER_FLOW_DASHBOARD!G20*30,0))</f>
        <v>██████</v>
      </c>
      <c r="M73" s="521"/>
    </row>
    <row r="74" customFormat="false" ht="25.5" hidden="false" customHeight="true" outlineLevel="0" collapsed="false">
      <c r="B74" s="518" t="n">
        <v>4</v>
      </c>
      <c r="C74" s="519" t="s">
        <v>1646</v>
      </c>
      <c r="D74" s="519"/>
      <c r="E74" s="519"/>
      <c r="F74" s="520" t="n">
        <f aca="false">MASTER_FLOW_DASHBOARD!G19</f>
        <v>321000</v>
      </c>
      <c r="G74" s="520"/>
      <c r="H74" s="520"/>
      <c r="I74" s="509" t="n">
        <f aca="false">F74/MASTER_FLOW_DASHBOARD!G20</f>
        <v>0.260417663852685</v>
      </c>
      <c r="J74" s="509"/>
      <c r="K74" s="509"/>
      <c r="L74" s="521" t="str">
        <f aca="false">REPT("█",ROUND(F74/MASTER_FLOW_DASHBOARD!G20*30,0))</f>
        <v>████████</v>
      </c>
      <c r="M74" s="521"/>
    </row>
    <row r="75" customFormat="false" ht="25.5" hidden="false" customHeight="true" outlineLevel="0" collapsed="false">
      <c r="B75" s="518" t="n">
        <v>5</v>
      </c>
      <c r="C75" s="519" t="s">
        <v>1647</v>
      </c>
      <c r="D75" s="519"/>
      <c r="E75" s="519"/>
      <c r="F75" s="520" t="n">
        <f aca="false">MASTER_FLOW_DASHBOARD!G14</f>
        <v>76625.28</v>
      </c>
      <c r="G75" s="520"/>
      <c r="H75" s="520"/>
      <c r="I75" s="509" t="n">
        <f aca="false">F75/MASTER_FLOW_DASHBOARD!G20</f>
        <v>0.0621637894381865</v>
      </c>
      <c r="J75" s="509"/>
      <c r="K75" s="509"/>
      <c r="L75" s="521" t="str">
        <f aca="false">REPT("█",ROUND(F75/MASTER_FLOW_DASHBOARD!G20*30,0))</f>
        <v>██</v>
      </c>
      <c r="M75" s="521"/>
    </row>
    <row r="76" customFormat="false" ht="25.5" hidden="false" customHeight="true" outlineLevel="0" collapsed="false">
      <c r="B76" s="518" t="n">
        <v>6</v>
      </c>
      <c r="C76" s="519" t="s">
        <v>1648</v>
      </c>
      <c r="D76" s="519"/>
      <c r="E76" s="519"/>
      <c r="F76" s="520" t="n">
        <f aca="false">MASTER_FLOW_DASHBOARD!G16</f>
        <v>49500</v>
      </c>
      <c r="G76" s="520"/>
      <c r="H76" s="520"/>
      <c r="I76" s="509" t="n">
        <f aca="false">F76/MASTER_FLOW_DASHBOARD!G20</f>
        <v>0.0401578640520495</v>
      </c>
      <c r="J76" s="509"/>
      <c r="K76" s="509"/>
      <c r="L76" s="521" t="str">
        <f aca="false">REPT("█",ROUND(F76/MASTER_FLOW_DASHBOARD!G20*30,0))</f>
        <v>█</v>
      </c>
      <c r="M76" s="521"/>
    </row>
    <row r="77" customFormat="false" ht="25.5" hidden="false" customHeight="true" outlineLevel="0" collapsed="false">
      <c r="B77" s="518" t="n">
        <v>7</v>
      </c>
      <c r="C77" s="519" t="s">
        <v>1649</v>
      </c>
      <c r="D77" s="519"/>
      <c r="E77" s="519"/>
      <c r="F77" s="520" t="s">
        <v>1650</v>
      </c>
      <c r="G77" s="520"/>
      <c r="H77" s="520"/>
      <c r="I77" s="522" t="s">
        <v>1651</v>
      </c>
      <c r="J77" s="522"/>
      <c r="K77" s="522"/>
      <c r="L77" s="521" t="s">
        <v>672</v>
      </c>
      <c r="M77" s="521"/>
    </row>
    <row r="78" customFormat="false" ht="27.75" hidden="false" customHeight="true" outlineLevel="0" collapsed="false">
      <c r="B78" s="523"/>
      <c r="C78" s="524" t="s">
        <v>1652</v>
      </c>
      <c r="D78" s="524"/>
      <c r="E78" s="524"/>
      <c r="F78" s="525" t="n">
        <f aca="false">MASTER_FLOW_DASHBOARD!G20</f>
        <v>1232635.28</v>
      </c>
      <c r="G78" s="525"/>
      <c r="H78" s="525"/>
      <c r="I78" s="526" t="s">
        <v>1653</v>
      </c>
      <c r="J78" s="526"/>
      <c r="K78" s="526"/>
      <c r="L78" s="527"/>
      <c r="M78" s="527"/>
    </row>
    <row r="79" customFormat="false" ht="81" hidden="false" customHeight="true" outlineLevel="0" collapsed="false">
      <c r="B79" s="528" t="str">
        <f aca="false">"↑ Cross-pillar synergies represent meaningful share of total Y4 Platform Revenue ($"&amp;TEXT('Master Revenue'!I17/1000000,"0.00")&amp;"M) — i.e., revenue capture from internal traffic flows is a material part of the model."</f>
        <v>↑ Cross-pillar synergies represent meaningful share of total Y4 Platform Revenue ($6.67M) — i.e., revenue capture from internal traffic flows is a material part of the model.</v>
      </c>
      <c r="G79" s="6"/>
    </row>
  </sheetData>
  <mergeCells count="132">
    <mergeCell ref="B2:I2"/>
    <mergeCell ref="J2:M2"/>
    <mergeCell ref="B3:M3"/>
    <mergeCell ref="B5:C5"/>
    <mergeCell ref="D5:E5"/>
    <mergeCell ref="F5:G5"/>
    <mergeCell ref="H5:I5"/>
    <mergeCell ref="J5:K5"/>
    <mergeCell ref="B6:C7"/>
    <mergeCell ref="D6:E7"/>
    <mergeCell ref="F6:G7"/>
    <mergeCell ref="H6:I7"/>
    <mergeCell ref="J6:K7"/>
    <mergeCell ref="B8:C8"/>
    <mergeCell ref="D8:E8"/>
    <mergeCell ref="F8:G8"/>
    <mergeCell ref="H8:I8"/>
    <mergeCell ref="J8:K8"/>
    <mergeCell ref="B11:M11"/>
    <mergeCell ref="B20:F20"/>
    <mergeCell ref="B23:M23"/>
    <mergeCell ref="B26:C27"/>
    <mergeCell ref="E26:F27"/>
    <mergeCell ref="H26:I27"/>
    <mergeCell ref="B29:C30"/>
    <mergeCell ref="E29:F30"/>
    <mergeCell ref="H29:I30"/>
    <mergeCell ref="B32:C33"/>
    <mergeCell ref="E32:F33"/>
    <mergeCell ref="H32:I33"/>
    <mergeCell ref="B35:C36"/>
    <mergeCell ref="E35:F36"/>
    <mergeCell ref="B39:M39"/>
    <mergeCell ref="B40:M40"/>
    <mergeCell ref="B43:M43"/>
    <mergeCell ref="B44:M44"/>
    <mergeCell ref="B45:M45"/>
    <mergeCell ref="B46:M46"/>
    <mergeCell ref="B49:M49"/>
    <mergeCell ref="B50:C50"/>
    <mergeCell ref="D50:E50"/>
    <mergeCell ref="F50:G50"/>
    <mergeCell ref="H50:I50"/>
    <mergeCell ref="J50:M50"/>
    <mergeCell ref="B51:C51"/>
    <mergeCell ref="D51:E51"/>
    <mergeCell ref="F51:G51"/>
    <mergeCell ref="H51:I51"/>
    <mergeCell ref="J51:M51"/>
    <mergeCell ref="B52:C52"/>
    <mergeCell ref="D52:E52"/>
    <mergeCell ref="F52:G52"/>
    <mergeCell ref="H52:I52"/>
    <mergeCell ref="J52:M52"/>
    <mergeCell ref="B53:C53"/>
    <mergeCell ref="D53:E53"/>
    <mergeCell ref="F53:G53"/>
    <mergeCell ref="H53:I53"/>
    <mergeCell ref="J53:M53"/>
    <mergeCell ref="B54:C54"/>
    <mergeCell ref="D54:E54"/>
    <mergeCell ref="F54:G54"/>
    <mergeCell ref="H54:I54"/>
    <mergeCell ref="J54:M54"/>
    <mergeCell ref="B55:C55"/>
    <mergeCell ref="D55:E55"/>
    <mergeCell ref="F55:G55"/>
    <mergeCell ref="H55:I55"/>
    <mergeCell ref="J55:M55"/>
    <mergeCell ref="B56:M56"/>
    <mergeCell ref="B59:M59"/>
    <mergeCell ref="B60:D60"/>
    <mergeCell ref="E60:G60"/>
    <mergeCell ref="H60:J60"/>
    <mergeCell ref="K60:M60"/>
    <mergeCell ref="B61:D61"/>
    <mergeCell ref="E61:G61"/>
    <mergeCell ref="H61:J61"/>
    <mergeCell ref="K61:M61"/>
    <mergeCell ref="B62:D62"/>
    <mergeCell ref="E62:G62"/>
    <mergeCell ref="K62:M62"/>
    <mergeCell ref="B63:D63"/>
    <mergeCell ref="E63:G63"/>
    <mergeCell ref="H63:J63"/>
    <mergeCell ref="K63:M63"/>
    <mergeCell ref="B64:D64"/>
    <mergeCell ref="E64:G64"/>
    <mergeCell ref="H64:J64"/>
    <mergeCell ref="K64:M64"/>
    <mergeCell ref="B65:D65"/>
    <mergeCell ref="E65:G65"/>
    <mergeCell ref="H65:J65"/>
    <mergeCell ref="K65:M65"/>
    <mergeCell ref="B66:M66"/>
    <mergeCell ref="B69:M69"/>
    <mergeCell ref="C70:E70"/>
    <mergeCell ref="F70:H70"/>
    <mergeCell ref="I70:K70"/>
    <mergeCell ref="L70:M70"/>
    <mergeCell ref="C71:E71"/>
    <mergeCell ref="F71:H71"/>
    <mergeCell ref="I71:K71"/>
    <mergeCell ref="L71:M71"/>
    <mergeCell ref="C72:E72"/>
    <mergeCell ref="F72:H72"/>
    <mergeCell ref="I72:K72"/>
    <mergeCell ref="L72:M72"/>
    <mergeCell ref="C73:E73"/>
    <mergeCell ref="F73:H73"/>
    <mergeCell ref="I73:K73"/>
    <mergeCell ref="L73:M73"/>
    <mergeCell ref="C74:E74"/>
    <mergeCell ref="F74:H74"/>
    <mergeCell ref="I74:K74"/>
    <mergeCell ref="L74:M74"/>
    <mergeCell ref="C75:E75"/>
    <mergeCell ref="F75:H75"/>
    <mergeCell ref="I75:K75"/>
    <mergeCell ref="L75:M75"/>
    <mergeCell ref="C76:E76"/>
    <mergeCell ref="F76:H76"/>
    <mergeCell ref="I76:K76"/>
    <mergeCell ref="L76:M76"/>
    <mergeCell ref="C77:E77"/>
    <mergeCell ref="F77:H77"/>
    <mergeCell ref="I77:K77"/>
    <mergeCell ref="L77:M77"/>
    <mergeCell ref="C78:E78"/>
    <mergeCell ref="F78:H78"/>
    <mergeCell ref="I78:K78"/>
    <mergeCell ref="L78:M78"/>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H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18"/>
    <col collapsed="false" customWidth="true" hidden="false" outlineLevel="0" max="6" min="5" style="0" width="15"/>
    <col collapsed="false" customWidth="true" hidden="false" outlineLevel="0" max="8" min="7" style="0" width="28"/>
  </cols>
  <sheetData>
    <row r="1" customFormat="false" ht="3.75" hidden="false" customHeight="true" outlineLevel="0" collapsed="false">
      <c r="B1" s="1"/>
      <c r="C1" s="2"/>
      <c r="D1" s="1"/>
      <c r="E1" s="2"/>
      <c r="F1" s="2"/>
      <c r="G1" s="2"/>
    </row>
    <row r="2" customFormat="false" ht="27.75" hidden="false" customHeight="true" outlineLevel="0" collapsed="false">
      <c r="B2" s="15" t="s">
        <v>8091</v>
      </c>
      <c r="C2" s="15"/>
      <c r="D2" s="15"/>
      <c r="E2" s="15"/>
      <c r="F2" s="89" t="s">
        <v>995</v>
      </c>
      <c r="G2" s="89"/>
    </row>
    <row r="3" customFormat="false" ht="33.75" hidden="false" customHeight="true" outlineLevel="0" collapsed="false">
      <c r="B3" s="529" t="s">
        <v>7041</v>
      </c>
      <c r="C3" s="529"/>
      <c r="D3" s="529"/>
      <c r="E3" s="529"/>
      <c r="F3" s="529"/>
      <c r="G3" s="529"/>
    </row>
    <row r="4" customFormat="false" ht="33.75" hidden="false" customHeight="true" outlineLevel="0" collapsed="false">
      <c r="B4" s="1444" t="s">
        <v>7042</v>
      </c>
      <c r="C4" s="1444"/>
      <c r="D4" s="1444"/>
      <c r="E4" s="1444"/>
      <c r="F4" s="1444"/>
      <c r="G4" s="1444"/>
      <c r="H4" s="0" t="s">
        <v>3856</v>
      </c>
    </row>
    <row r="5" customFormat="false" ht="21.75" hidden="false" customHeight="true" outlineLevel="0" collapsed="false">
      <c r="B5" s="97" t="s">
        <v>3857</v>
      </c>
      <c r="C5" s="98" t="s">
        <v>393</v>
      </c>
      <c r="D5" s="99" t="s">
        <v>1658</v>
      </c>
      <c r="E5" s="98" t="s">
        <v>3858</v>
      </c>
      <c r="F5" s="98" t="s">
        <v>102</v>
      </c>
      <c r="G5" s="98" t="s">
        <v>778</v>
      </c>
    </row>
    <row r="6" customFormat="false" ht="27.75" hidden="false" customHeight="true" outlineLevel="0" collapsed="false">
      <c r="B6" s="113" t="s">
        <v>8092</v>
      </c>
      <c r="C6" s="544" t="n">
        <f aca="false">'Sponsorships · Drivers'!D7</f>
        <v>1</v>
      </c>
      <c r="D6" s="592" t="s">
        <v>8093</v>
      </c>
      <c r="E6" s="1261" t="s">
        <v>4821</v>
      </c>
      <c r="F6" s="1257" t="s">
        <v>1600</v>
      </c>
      <c r="G6" s="538" t="s">
        <v>8094</v>
      </c>
    </row>
    <row r="7" customFormat="false" ht="27.75" hidden="false" customHeight="true" outlineLevel="0" collapsed="false">
      <c r="B7" s="113" t="s">
        <v>8095</v>
      </c>
      <c r="C7" s="533" t="n">
        <f aca="false">1</f>
        <v>1</v>
      </c>
      <c r="D7" s="592" t="s">
        <v>8096</v>
      </c>
      <c r="E7" s="1261" t="s">
        <v>4821</v>
      </c>
      <c r="F7" s="1257" t="s">
        <v>1600</v>
      </c>
      <c r="G7" s="538" t="s">
        <v>8097</v>
      </c>
    </row>
    <row r="8" customFormat="false" ht="27.75" hidden="false" customHeight="true" outlineLevel="0" collapsed="false">
      <c r="B8" s="113" t="s">
        <v>8098</v>
      </c>
      <c r="C8" s="544" t="n">
        <f aca="false">'Sponsorships · Drivers'!D11</f>
        <v>3</v>
      </c>
      <c r="D8" s="592" t="s">
        <v>8093</v>
      </c>
      <c r="E8" s="1256" t="s">
        <v>4796</v>
      </c>
      <c r="F8" s="1257" t="s">
        <v>1600</v>
      </c>
      <c r="G8" s="538" t="s">
        <v>8099</v>
      </c>
    </row>
    <row r="9" customFormat="false" ht="27.75" hidden="false" customHeight="true" outlineLevel="0" collapsed="false">
      <c r="B9" s="113" t="s">
        <v>8100</v>
      </c>
      <c r="C9" s="533" t="n">
        <f aca="false">3</f>
        <v>3</v>
      </c>
      <c r="D9" s="592" t="s">
        <v>8101</v>
      </c>
      <c r="E9" s="1256" t="s">
        <v>4796</v>
      </c>
      <c r="F9" s="1259" t="s">
        <v>4803</v>
      </c>
      <c r="G9" s="538" t="s">
        <v>8102</v>
      </c>
    </row>
    <row r="10" customFormat="false" ht="27.75" hidden="false" customHeight="true" outlineLevel="0" collapsed="false">
      <c r="B10" s="113" t="s">
        <v>8103</v>
      </c>
      <c r="C10" s="544" t="n">
        <f aca="false">'Sponsorships · Drivers'!D15</f>
        <v>5</v>
      </c>
      <c r="D10" s="592" t="s">
        <v>8104</v>
      </c>
      <c r="E10" s="1256" t="s">
        <v>4796</v>
      </c>
      <c r="F10" s="1259" t="s">
        <v>4803</v>
      </c>
      <c r="G10" s="538" t="s">
        <v>8105</v>
      </c>
    </row>
    <row r="11" customFormat="false" ht="27.75" hidden="false" customHeight="true" outlineLevel="0" collapsed="false">
      <c r="B11" s="113" t="s">
        <v>8106</v>
      </c>
      <c r="C11" s="533" t="n">
        <f aca="false">'Sponsorships · Drivers'!D17</f>
        <v>0.58</v>
      </c>
      <c r="D11" s="592" t="s">
        <v>8107</v>
      </c>
      <c r="E11" s="1256" t="s">
        <v>4796</v>
      </c>
      <c r="F11" s="1259" t="s">
        <v>4803</v>
      </c>
      <c r="G11" s="538" t="s">
        <v>8108</v>
      </c>
    </row>
    <row r="12" customFormat="false" ht="27.75" hidden="false" customHeight="true" outlineLevel="0" collapsed="false">
      <c r="B12" s="113" t="s">
        <v>8109</v>
      </c>
      <c r="C12" s="544" t="n">
        <f aca="false">'Sponsorships · Drivers'!D19</f>
        <v>8</v>
      </c>
      <c r="D12" s="592" t="s">
        <v>8110</v>
      </c>
      <c r="E12" s="1256" t="s">
        <v>4796</v>
      </c>
      <c r="F12" s="1259" t="s">
        <v>4803</v>
      </c>
      <c r="G12" s="538" t="s">
        <v>8111</v>
      </c>
    </row>
    <row r="13" customFormat="false" ht="27.75" hidden="false" customHeight="true" outlineLevel="0" collapsed="false">
      <c r="B13" s="113" t="s">
        <v>8112</v>
      </c>
      <c r="C13" s="533" t="n">
        <f aca="false">'Sponsorships · Drivers'!D21</f>
        <v>0.6</v>
      </c>
      <c r="D13" s="592" t="s">
        <v>8113</v>
      </c>
      <c r="E13" s="1261" t="s">
        <v>4821</v>
      </c>
      <c r="F13" s="1259" t="s">
        <v>4803</v>
      </c>
      <c r="G13" s="538" t="s">
        <v>8114</v>
      </c>
    </row>
    <row r="14" customFormat="false" ht="27.75" hidden="false" customHeight="true" outlineLevel="0" collapsed="false">
      <c r="B14" s="113" t="s">
        <v>8115</v>
      </c>
      <c r="C14" s="544" t="n">
        <f aca="false">'Sponsorships · Costs'!C7</f>
        <v>36000</v>
      </c>
      <c r="D14" s="592" t="s">
        <v>3920</v>
      </c>
      <c r="E14" s="1260" t="s">
        <v>4807</v>
      </c>
      <c r="F14" s="1216" t="s">
        <v>2765</v>
      </c>
      <c r="G14" s="538" t="s">
        <v>8116</v>
      </c>
    </row>
    <row r="15" customFormat="false" ht="27.75" hidden="false" customHeight="true" outlineLevel="0" collapsed="false">
      <c r="B15" s="113" t="s">
        <v>8117</v>
      </c>
      <c r="C15" s="1288" t="n">
        <f aca="false">0.1</f>
        <v>0.1</v>
      </c>
      <c r="D15" s="592" t="s">
        <v>5820</v>
      </c>
      <c r="E15" s="1256" t="s">
        <v>4796</v>
      </c>
      <c r="F15" s="1259" t="s">
        <v>4803</v>
      </c>
      <c r="G15" s="538" t="s">
        <v>8118</v>
      </c>
    </row>
    <row r="16" customFormat="false" ht="27.75" hidden="false" customHeight="true" outlineLevel="0" collapsed="false">
      <c r="B16" s="113" t="s">
        <v>3943</v>
      </c>
      <c r="C16" s="533" t="n">
        <f aca="false">0</f>
        <v>0</v>
      </c>
      <c r="D16" s="592" t="s">
        <v>7334</v>
      </c>
      <c r="E16" s="1260" t="s">
        <v>4807</v>
      </c>
      <c r="F16" s="1216" t="s">
        <v>2765</v>
      </c>
      <c r="G16" s="538" t="s">
        <v>8119</v>
      </c>
    </row>
    <row r="17" customFormat="false" ht="27.75" hidden="false" customHeight="true" outlineLevel="0" collapsed="false">
      <c r="B17" s="113" t="s">
        <v>3946</v>
      </c>
      <c r="C17" s="533" t="n">
        <f aca="false">45</f>
        <v>45</v>
      </c>
      <c r="D17" s="592" t="s">
        <v>8120</v>
      </c>
      <c r="E17" s="1256" t="s">
        <v>4796</v>
      </c>
      <c r="F17" s="1259" t="s">
        <v>4803</v>
      </c>
      <c r="G17" s="538" t="s">
        <v>8121</v>
      </c>
    </row>
    <row r="18" customFormat="false" ht="27.75" hidden="false" customHeight="true" outlineLevel="0" collapsed="false">
      <c r="B18" s="113" t="s">
        <v>3949</v>
      </c>
      <c r="C18" s="533" t="n">
        <f aca="false">15</f>
        <v>15</v>
      </c>
      <c r="D18" s="592" t="s">
        <v>5849</v>
      </c>
      <c r="E18" s="1260" t="s">
        <v>4807</v>
      </c>
      <c r="F18" s="1216" t="s">
        <v>2765</v>
      </c>
      <c r="G18" s="538" t="s">
        <v>3950</v>
      </c>
    </row>
    <row r="19" customFormat="false" ht="27.75" hidden="false" customHeight="true" outlineLevel="0" collapsed="false">
      <c r="B19" s="113" t="s">
        <v>3951</v>
      </c>
      <c r="C19" s="1288" t="n">
        <f aca="false">0.005</f>
        <v>0.005</v>
      </c>
      <c r="D19" s="592" t="s">
        <v>8122</v>
      </c>
      <c r="E19" s="1260" t="s">
        <v>4807</v>
      </c>
      <c r="F19" s="1216" t="s">
        <v>2765</v>
      </c>
      <c r="G19" s="538" t="s">
        <v>8123</v>
      </c>
    </row>
    <row r="20" customFormat="false" ht="15" hidden="false" customHeight="true" outlineLevel="0" collapsed="false">
      <c r="B20" s="6"/>
      <c r="D20" s="6"/>
    </row>
    <row r="21" customFormat="false" ht="15" hidden="false" customHeight="true" outlineLevel="0" collapsed="false">
      <c r="B21" s="6"/>
      <c r="D21" s="6"/>
    </row>
    <row r="22" customFormat="false" ht="21.75" hidden="false" customHeight="true" outlineLevel="0" collapsed="false">
      <c r="B22" s="304" t="s">
        <v>7072</v>
      </c>
      <c r="C22" s="304"/>
      <c r="D22" s="304"/>
      <c r="E22" s="304"/>
      <c r="F22" s="304"/>
      <c r="G22" s="304"/>
    </row>
    <row r="23" customFormat="false" ht="108.75" hidden="false" customHeight="true" outlineLevel="0" collapsed="false">
      <c r="B23" s="1445" t="s">
        <v>7073</v>
      </c>
      <c r="C23" s="1445"/>
      <c r="D23" s="1445"/>
      <c r="E23" s="1445"/>
      <c r="F23" s="1445"/>
      <c r="G23" s="1445"/>
    </row>
    <row r="24" customFormat="false" ht="15" hidden="false" customHeight="true" outlineLevel="0" collapsed="false">
      <c r="B24" s="1445"/>
      <c r="C24" s="1445"/>
      <c r="D24" s="1445"/>
      <c r="E24" s="1445"/>
      <c r="F24" s="1445"/>
      <c r="G24" s="1445"/>
    </row>
    <row r="25" customFormat="false" ht="15" hidden="false" customHeight="true" outlineLevel="0" collapsed="false">
      <c r="B25" s="1445"/>
      <c r="C25" s="1445"/>
      <c r="D25" s="1445"/>
      <c r="E25" s="1445"/>
      <c r="F25" s="1445"/>
      <c r="G25" s="1445"/>
    </row>
    <row r="26" customFormat="false" ht="15" hidden="false" customHeight="true" outlineLevel="0" collapsed="false">
      <c r="B26" s="1445"/>
      <c r="C26" s="1445"/>
      <c r="D26" s="1445"/>
      <c r="E26" s="1445"/>
      <c r="F26" s="1445"/>
      <c r="G26" s="1445"/>
    </row>
  </sheetData>
  <mergeCells count="6">
    <mergeCell ref="B2:E2"/>
    <mergeCell ref="F2:G2"/>
    <mergeCell ref="B3:G3"/>
    <mergeCell ref="B4:G4"/>
    <mergeCell ref="B22:G22"/>
    <mergeCell ref="B23:G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44" activePane="bottomRight" state="frozen"/>
      <selection pane="topLeft" activeCell="A1" activeCellId="0" sqref="A1"/>
      <selection pane="topRight" activeCell="C1" activeCellId="0" sqref="C1"/>
      <selection pane="bottomLeft" activeCell="A44" activeCellId="0" sqref="A44"/>
      <selection pane="bottomRight" activeCell="A44" activeCellId="0" sqref="A44"/>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7710</v>
      </c>
      <c r="C2" s="917"/>
      <c r="D2" s="917"/>
      <c r="E2" s="917"/>
      <c r="F2" s="917"/>
      <c r="G2" s="89" t="s">
        <v>3432</v>
      </c>
      <c r="H2" s="89"/>
      <c r="I2" s="89"/>
      <c r="J2" s="89"/>
    </row>
    <row r="3" customFormat="false" ht="33.75" hidden="false" customHeight="true" outlineLevel="0" collapsed="false">
      <c r="B3" s="90" t="s">
        <v>8124</v>
      </c>
      <c r="C3" s="90"/>
      <c r="D3" s="90"/>
      <c r="E3" s="90"/>
      <c r="F3" s="90"/>
      <c r="G3" s="90"/>
      <c r="H3" s="90"/>
      <c r="I3" s="90"/>
      <c r="J3" s="90"/>
    </row>
    <row r="4" customFormat="false" ht="15" hidden="false" customHeight="true" outlineLevel="0" collapsed="false">
      <c r="B4" s="6"/>
      <c r="I4" s="6"/>
    </row>
    <row r="5" customFormat="false" ht="33.75" hidden="false" customHeight="true" outlineLevel="0" collapsed="false">
      <c r="B5" s="96" t="s">
        <v>8125</v>
      </c>
      <c r="C5" s="96"/>
      <c r="D5" s="96"/>
      <c r="E5" s="96"/>
      <c r="F5" s="96"/>
      <c r="G5" s="96"/>
      <c r="H5" s="96"/>
      <c r="I5" s="6"/>
    </row>
    <row r="6" customFormat="false" ht="19.5" hidden="false" customHeight="true" outlineLevel="0" collapsed="false">
      <c r="B6" s="97" t="s">
        <v>7076</v>
      </c>
      <c r="C6" s="98" t="s">
        <v>3004</v>
      </c>
      <c r="D6" s="98" t="s">
        <v>8126</v>
      </c>
      <c r="E6" s="98" t="s">
        <v>4770</v>
      </c>
      <c r="G6" s="551" t="s">
        <v>3508</v>
      </c>
      <c r="I6" s="6"/>
    </row>
    <row r="7" customFormat="false" ht="16.5" hidden="false" customHeight="true" outlineLevel="0" collapsed="false">
      <c r="B7" s="126" t="s">
        <v>8127</v>
      </c>
      <c r="C7" s="1262" t="n">
        <f aca="false">'Sponsorships · Drivers'!C28*'Sponsorships · Drivers'!C30</f>
        <v>0.33</v>
      </c>
      <c r="D7" s="1263" t="n">
        <f aca="false">'Sponsorships · Drivers'!C29</f>
        <v>150000</v>
      </c>
      <c r="E7" s="544" t="n">
        <f aca="false">'Sponsorships · Drivers'!C45</f>
        <v>49500</v>
      </c>
      <c r="G7" s="565" t="s">
        <v>8128</v>
      </c>
      <c r="I7" s="6"/>
    </row>
    <row r="8" customFormat="false" ht="21.75" hidden="false" customHeight="true" outlineLevel="0" collapsed="false">
      <c r="B8" s="81" t="s">
        <v>8129</v>
      </c>
      <c r="E8" s="1446" t="n">
        <f aca="false">E7</f>
        <v>49500</v>
      </c>
      <c r="I8" s="6"/>
    </row>
    <row r="9" customFormat="false" ht="15" hidden="false" customHeight="true" outlineLevel="0" collapsed="false">
      <c r="B9" s="6"/>
      <c r="I9" s="6"/>
    </row>
    <row r="10" customFormat="false" ht="33.75" hidden="false" customHeight="true" outlineLevel="0" collapsed="false">
      <c r="B10" s="96" t="s">
        <v>8130</v>
      </c>
      <c r="C10" s="96"/>
      <c r="D10" s="96"/>
      <c r="E10" s="96"/>
      <c r="F10" s="96"/>
      <c r="G10" s="96"/>
      <c r="H10" s="96"/>
      <c r="I10" s="6"/>
    </row>
    <row r="11" customFormat="false" ht="19.5" hidden="false" customHeight="true" outlineLevel="0" collapsed="false">
      <c r="B11" s="97" t="s">
        <v>7076</v>
      </c>
      <c r="C11" s="98" t="s">
        <v>3004</v>
      </c>
      <c r="D11" s="98" t="s">
        <v>8126</v>
      </c>
      <c r="E11" s="98" t="s">
        <v>4770</v>
      </c>
      <c r="G11" s="551" t="s">
        <v>3508</v>
      </c>
      <c r="I11" s="6"/>
    </row>
    <row r="12" customFormat="false" ht="16.5" hidden="false" customHeight="true" outlineLevel="0" collapsed="false">
      <c r="B12" s="126" t="s">
        <v>8131</v>
      </c>
      <c r="C12" s="1262" t="n">
        <f aca="false">'Sponsorships · Drivers'!C31*'Sponsorships · Drivers'!C33</f>
        <v>1.59</v>
      </c>
      <c r="D12" s="1263" t="n">
        <f aca="false">'Sponsorships · Drivers'!C32</f>
        <v>50000</v>
      </c>
      <c r="E12" s="544" t="n">
        <f aca="false">'Sponsorships · Drivers'!C46</f>
        <v>79500</v>
      </c>
      <c r="G12" s="565" t="s">
        <v>8132</v>
      </c>
      <c r="I12" s="6"/>
    </row>
    <row r="13" customFormat="false" ht="21.75" hidden="false" customHeight="true" outlineLevel="0" collapsed="false">
      <c r="B13" s="81" t="s">
        <v>8133</v>
      </c>
      <c r="E13" s="1446" t="n">
        <f aca="false">E12</f>
        <v>79500</v>
      </c>
      <c r="I13" s="6"/>
    </row>
    <row r="14" customFormat="false" ht="15" hidden="false" customHeight="true" outlineLevel="0" collapsed="false">
      <c r="B14" s="6"/>
      <c r="I14" s="6"/>
    </row>
    <row r="15" customFormat="false" ht="33.75" hidden="false" customHeight="true" outlineLevel="0" collapsed="false">
      <c r="B15" s="96" t="s">
        <v>8134</v>
      </c>
      <c r="C15" s="96"/>
      <c r="D15" s="96"/>
      <c r="E15" s="96"/>
      <c r="F15" s="96"/>
      <c r="G15" s="96"/>
      <c r="H15" s="96"/>
      <c r="I15" s="6"/>
    </row>
    <row r="16" customFormat="false" ht="19.5" hidden="false" customHeight="true" outlineLevel="0" collapsed="false">
      <c r="B16" s="97" t="s">
        <v>7076</v>
      </c>
      <c r="C16" s="98" t="s">
        <v>3004</v>
      </c>
      <c r="D16" s="98" t="s">
        <v>8126</v>
      </c>
      <c r="E16" s="98" t="s">
        <v>4770</v>
      </c>
      <c r="G16" s="551" t="s">
        <v>3508</v>
      </c>
      <c r="I16" s="6"/>
    </row>
    <row r="17" customFormat="false" ht="16.5" hidden="false" customHeight="true" outlineLevel="0" collapsed="false">
      <c r="B17" s="126" t="s">
        <v>8135</v>
      </c>
      <c r="C17" s="1262" t="n">
        <f aca="false">'Sponsorships · Drivers'!C34*'Sponsorships · Drivers'!C36</f>
        <v>2.9</v>
      </c>
      <c r="D17" s="1263" t="n">
        <f aca="false">'Sponsorships · Drivers'!C35</f>
        <v>20000</v>
      </c>
      <c r="E17" s="544" t="n">
        <f aca="false">'Sponsorships · Drivers'!C47</f>
        <v>58000</v>
      </c>
      <c r="G17" s="565" t="s">
        <v>8136</v>
      </c>
      <c r="I17" s="6"/>
    </row>
    <row r="18" customFormat="false" ht="21.75" hidden="false" customHeight="true" outlineLevel="0" collapsed="false">
      <c r="B18" s="81" t="s">
        <v>8137</v>
      </c>
      <c r="E18" s="1446" t="n">
        <f aca="false">E17</f>
        <v>58000</v>
      </c>
      <c r="I18" s="6"/>
    </row>
    <row r="19" customFormat="false" ht="15" hidden="false" customHeight="true" outlineLevel="0" collapsed="false">
      <c r="B19" s="6"/>
      <c r="I19" s="6"/>
    </row>
    <row r="20" customFormat="false" ht="21.75" hidden="false" customHeight="true" outlineLevel="0" collapsed="false">
      <c r="B20" s="96" t="s">
        <v>8138</v>
      </c>
      <c r="C20" s="96"/>
      <c r="D20" s="96"/>
      <c r="E20" s="96"/>
      <c r="F20" s="96"/>
      <c r="G20" s="96"/>
      <c r="H20" s="96"/>
      <c r="I20" s="6"/>
    </row>
    <row r="21" customFormat="false" ht="19.5" hidden="false" customHeight="true" outlineLevel="0" collapsed="false">
      <c r="B21" s="97" t="s">
        <v>7076</v>
      </c>
      <c r="C21" s="98" t="s">
        <v>3004</v>
      </c>
      <c r="D21" s="98" t="s">
        <v>8126</v>
      </c>
      <c r="E21" s="98" t="s">
        <v>4770</v>
      </c>
      <c r="G21" s="551" t="s">
        <v>3508</v>
      </c>
      <c r="I21" s="6"/>
    </row>
    <row r="22" customFormat="false" ht="16.5" hidden="false" customHeight="true" outlineLevel="0" collapsed="false">
      <c r="B22" s="126" t="s">
        <v>8139</v>
      </c>
      <c r="C22" s="1262" t="n">
        <f aca="false">'Sponsorships · Drivers'!C37*'Sponsorships · Drivers'!C39</f>
        <v>4.8</v>
      </c>
      <c r="D22" s="1263" t="n">
        <f aca="false">'Sponsorships · Drivers'!C38</f>
        <v>10000</v>
      </c>
      <c r="E22" s="544" t="n">
        <f aca="false">'Sponsorships · Drivers'!C48</f>
        <v>48000</v>
      </c>
      <c r="G22" s="565" t="s">
        <v>8140</v>
      </c>
      <c r="I22" s="6"/>
    </row>
    <row r="23" customFormat="false" ht="16.5" hidden="false" customHeight="true" outlineLevel="0" collapsed="false">
      <c r="B23" s="126" t="s">
        <v>8141</v>
      </c>
      <c r="C23" s="1262" t="n">
        <f aca="false">'Sponsorships · Drivers'!C40*'Sponsorships · Drivers'!C42</f>
        <v>1.3</v>
      </c>
      <c r="D23" s="1263" t="n">
        <f aca="false">'Sponsorships · Drivers'!C41</f>
        <v>40000</v>
      </c>
      <c r="E23" s="544" t="n">
        <f aca="false">'Sponsorships · Drivers'!C49</f>
        <v>52000</v>
      </c>
      <c r="G23" s="565" t="s">
        <v>8142</v>
      </c>
      <c r="I23" s="6"/>
    </row>
    <row r="24" customFormat="false" ht="21.75" hidden="false" customHeight="true" outlineLevel="0" collapsed="false">
      <c r="B24" s="1076" t="s">
        <v>8143</v>
      </c>
      <c r="E24" s="1446" t="n">
        <f aca="false">E22+E23</f>
        <v>100000</v>
      </c>
      <c r="I24" s="6"/>
    </row>
    <row r="25" customFormat="false" ht="15" hidden="false" customHeight="true" outlineLevel="0" collapsed="false">
      <c r="B25" s="6"/>
      <c r="I25" s="6"/>
    </row>
    <row r="26" customFormat="false" ht="21.75" hidden="false" customHeight="true" outlineLevel="0" collapsed="false">
      <c r="B26" s="51" t="s">
        <v>8144</v>
      </c>
      <c r="C26" s="51"/>
      <c r="D26" s="51"/>
      <c r="E26" s="51"/>
      <c r="F26" s="51"/>
      <c r="G26" s="51"/>
      <c r="H26" s="51"/>
      <c r="I26" s="6"/>
    </row>
    <row r="27" customFormat="false" ht="27.75" hidden="false" customHeight="true" outlineLevel="0" collapsed="false">
      <c r="B27" s="1266" t="s">
        <v>3021</v>
      </c>
      <c r="E27" s="578" t="n">
        <f aca="false">E8+E13+E18+E24</f>
        <v>287000</v>
      </c>
      <c r="I27" s="6"/>
    </row>
    <row r="28" customFormat="false" ht="15" hidden="false" customHeight="true" outlineLevel="0" collapsed="false">
      <c r="B28" s="6"/>
      <c r="I28" s="6"/>
    </row>
    <row r="29" customFormat="false" ht="15" hidden="false" customHeight="true" outlineLevel="0" collapsed="false">
      <c r="B29" s="6"/>
      <c r="I29" s="6"/>
    </row>
    <row r="30" customFormat="false" ht="21.75" hidden="false" customHeight="true" outlineLevel="0" collapsed="false">
      <c r="B30" s="575" t="s">
        <v>3443</v>
      </c>
      <c r="C30" s="575"/>
      <c r="D30" s="575"/>
      <c r="E30" s="575"/>
      <c r="F30" s="575"/>
      <c r="G30" s="575"/>
      <c r="H30" s="575"/>
      <c r="I30" s="6"/>
    </row>
    <row r="31" customFormat="false" ht="15" hidden="false" customHeight="true" outlineLevel="0" collapsed="false">
      <c r="B31" s="97" t="s">
        <v>3445</v>
      </c>
      <c r="C31" s="98" t="s">
        <v>2771</v>
      </c>
      <c r="D31" s="98" t="s">
        <v>1052</v>
      </c>
      <c r="I31" s="6"/>
    </row>
    <row r="32" customFormat="false" ht="15" hidden="false" customHeight="true" outlineLevel="0" collapsed="false">
      <c r="B32" s="113" t="s">
        <v>8145</v>
      </c>
      <c r="C32" s="571" t="n">
        <f aca="false">E8</f>
        <v>49500</v>
      </c>
      <c r="D32" s="594" t="n">
        <f aca="false">E8/$E$27</f>
        <v>0.172473867595819</v>
      </c>
      <c r="I32" s="6"/>
    </row>
    <row r="33" customFormat="false" ht="15" hidden="false" customHeight="true" outlineLevel="0" collapsed="false">
      <c r="B33" s="113" t="s">
        <v>8146</v>
      </c>
      <c r="C33" s="571" t="n">
        <f aca="false">E13</f>
        <v>79500</v>
      </c>
      <c r="D33" s="594" t="n">
        <f aca="false">E13/$E$27</f>
        <v>0.277003484320558</v>
      </c>
      <c r="I33" s="6"/>
    </row>
    <row r="34" customFormat="false" ht="15" hidden="false" customHeight="true" outlineLevel="0" collapsed="false">
      <c r="B34" s="113" t="s">
        <v>8147</v>
      </c>
      <c r="C34" s="571" t="n">
        <f aca="false">E18</f>
        <v>58000</v>
      </c>
      <c r="D34" s="594" t="n">
        <f aca="false">E18/$E$27</f>
        <v>0.202090592334495</v>
      </c>
      <c r="I34" s="6"/>
    </row>
    <row r="35" customFormat="false" ht="15" hidden="false" customHeight="true" outlineLevel="0" collapsed="false">
      <c r="B35" s="113" t="s">
        <v>7993</v>
      </c>
      <c r="C35" s="571" t="n">
        <f aca="false">E24</f>
        <v>100000</v>
      </c>
      <c r="D35" s="594" t="n">
        <f aca="false">E24/$E$27</f>
        <v>0.348432055749129</v>
      </c>
      <c r="I35" s="6"/>
    </row>
  </sheetData>
  <mergeCells count="9">
    <mergeCell ref="B2:F2"/>
    <mergeCell ref="G2:J2"/>
    <mergeCell ref="B3:J3"/>
    <mergeCell ref="B5:H5"/>
    <mergeCell ref="B10:H10"/>
    <mergeCell ref="B15:H15"/>
    <mergeCell ref="B20:H20"/>
    <mergeCell ref="B26:H26"/>
    <mergeCell ref="B30:H3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4"/>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8148</v>
      </c>
      <c r="C2" s="878"/>
      <c r="D2" s="878"/>
      <c r="E2" s="878"/>
      <c r="F2" s="878"/>
      <c r="G2" s="1023" t="s">
        <v>3432</v>
      </c>
      <c r="H2" s="1023"/>
      <c r="I2" s="1023"/>
      <c r="J2" s="1023"/>
    </row>
    <row r="3" customFormat="false" ht="33.75" hidden="false" customHeight="true" outlineLevel="0" collapsed="false">
      <c r="B3" s="90" t="s">
        <v>8149</v>
      </c>
      <c r="C3" s="90"/>
      <c r="D3" s="90"/>
      <c r="E3" s="90"/>
      <c r="F3" s="90"/>
      <c r="G3" s="90"/>
      <c r="H3" s="90"/>
      <c r="I3" s="90"/>
      <c r="J3" s="90"/>
    </row>
    <row r="4" customFormat="false" ht="15" hidden="false" customHeight="true" outlineLevel="0" collapsed="false">
      <c r="B4" s="6"/>
      <c r="G4" s="6"/>
    </row>
    <row r="5" customFormat="false" ht="21.75" hidden="false" customHeight="true" outlineLevel="0" collapsed="false">
      <c r="B5" s="96" t="s">
        <v>4928</v>
      </c>
      <c r="C5" s="96"/>
      <c r="D5" s="96"/>
      <c r="E5" s="96"/>
      <c r="F5" s="96"/>
      <c r="G5" s="96"/>
      <c r="H5" s="96"/>
    </row>
    <row r="6" customFormat="false" ht="19.5" hidden="false" customHeight="true" outlineLevel="0" collapsed="false">
      <c r="B6" s="99" t="s">
        <v>4929</v>
      </c>
      <c r="C6" s="98" t="s">
        <v>2771</v>
      </c>
      <c r="D6" s="98" t="s">
        <v>4930</v>
      </c>
      <c r="E6" s="98" t="s">
        <v>8150</v>
      </c>
      <c r="F6" s="98" t="s">
        <v>4016</v>
      </c>
      <c r="G6" s="99" t="s">
        <v>4932</v>
      </c>
      <c r="H6" s="98" t="s">
        <v>778</v>
      </c>
    </row>
    <row r="7" customFormat="false" ht="16.5" hidden="false" customHeight="true" outlineLevel="0" collapsed="false">
      <c r="B7" s="126" t="s">
        <v>8151</v>
      </c>
      <c r="C7" s="1277" t="n">
        <f aca="false">'Sponsorships · Drivers'!C55</f>
        <v>36000</v>
      </c>
      <c r="D7" s="593" t="n">
        <f aca="false">C7/'Sponsorships · Revenue'!E27</f>
        <v>0.125435540069686</v>
      </c>
      <c r="E7" s="1278" t="n">
        <f aca="false">C7/IF(('Sponsorships · Drivers'!C28+'Sponsorships · Drivers'!C31+'Sponsorships · Drivers'!C34+'Sponsorships · Drivers'!C37+'Sponsorships · Drivers'!C40)=0,1,('Sponsorships · Drivers'!C28+'Sponsorships · Drivers'!C31+'Sponsorships · Drivers'!C34+'Sponsorships · Drivers'!C37+'Sponsorships · Drivers'!C40))</f>
        <v>1894.73684210526</v>
      </c>
      <c r="F7" s="455" t="s">
        <v>3663</v>
      </c>
      <c r="G7" s="1279" t="n">
        <v>0</v>
      </c>
      <c r="H7" s="565" t="s">
        <v>8152</v>
      </c>
    </row>
    <row r="8" customFormat="false" ht="16.5" hidden="false" customHeight="true" outlineLevel="0" collapsed="false">
      <c r="B8" s="126" t="s">
        <v>8153</v>
      </c>
      <c r="C8" s="1277" t="n">
        <f aca="false">'Sponsorships · Drivers'!C56</f>
        <v>12000</v>
      </c>
      <c r="D8" s="593" t="n">
        <f aca="false">C8/'Sponsorships · Revenue'!E27</f>
        <v>0.0418118466898955</v>
      </c>
      <c r="E8" s="1278" t="n">
        <f aca="false">C8/IF(('Sponsorships · Drivers'!C28+'Sponsorships · Drivers'!C31+'Sponsorships · Drivers'!C34+'Sponsorships · Drivers'!C37+'Sponsorships · Drivers'!C40)=0,1,('Sponsorships · Drivers'!C28+'Sponsorships · Drivers'!C31+'Sponsorships · Drivers'!C34+'Sponsorships · Drivers'!C37+'Sponsorships · Drivers'!C40))</f>
        <v>631.578947368421</v>
      </c>
      <c r="F8" s="455" t="s">
        <v>3663</v>
      </c>
      <c r="G8" s="1279" t="n">
        <v>0</v>
      </c>
      <c r="H8" s="565" t="s">
        <v>8154</v>
      </c>
    </row>
    <row r="9" customFormat="false" ht="16.5" hidden="false" customHeight="true" outlineLevel="0" collapsed="false">
      <c r="B9" s="126" t="s">
        <v>8155</v>
      </c>
      <c r="C9" s="1277" t="n">
        <f aca="false">'Sponsorships · Drivers'!C57</f>
        <v>6000</v>
      </c>
      <c r="D9" s="593" t="n">
        <f aca="false">C9/'Sponsorships · Revenue'!E27</f>
        <v>0.0209059233449477</v>
      </c>
      <c r="E9" s="1278" t="n">
        <f aca="false">C9/IF(('Sponsorships · Drivers'!C28+'Sponsorships · Drivers'!C31+'Sponsorships · Drivers'!C34+'Sponsorships · Drivers'!C37+'Sponsorships · Drivers'!C40)=0,1,('Sponsorships · Drivers'!C28+'Sponsorships · Drivers'!C31+'Sponsorships · Drivers'!C34+'Sponsorships · Drivers'!C37+'Sponsorships · Drivers'!C40))</f>
        <v>315.789473684211</v>
      </c>
      <c r="F9" s="455" t="s">
        <v>3663</v>
      </c>
      <c r="G9" s="1279" t="n">
        <v>0</v>
      </c>
      <c r="H9" s="565" t="s">
        <v>8156</v>
      </c>
    </row>
    <row r="10" customFormat="false" ht="16.5" hidden="false" customHeight="true" outlineLevel="0" collapsed="false">
      <c r="B10" s="113" t="s">
        <v>8157</v>
      </c>
      <c r="C10" s="1277" t="n">
        <f aca="false">'Sponsorships · Drivers'!C58</f>
        <v>6000</v>
      </c>
      <c r="D10" s="593" t="n">
        <f aca="false">C10/'Sponsorships · Revenue'!E27</f>
        <v>0.0209059233449477</v>
      </c>
      <c r="E10" s="1278" t="n">
        <f aca="false">C10/IF(('Sponsorships · Drivers'!C28+'Sponsorships · Drivers'!C31+'Sponsorships · Drivers'!C34+'Sponsorships · Drivers'!C37+'Sponsorships · Drivers'!C40)=0,1,('Sponsorships · Drivers'!C28+'Sponsorships · Drivers'!C31+'Sponsorships · Drivers'!C34+'Sponsorships · Drivers'!C37+'Sponsorships · Drivers'!C40))</f>
        <v>315.789473684211</v>
      </c>
      <c r="F10" s="455" t="s">
        <v>3663</v>
      </c>
      <c r="G10" s="1279" t="n">
        <v>0</v>
      </c>
      <c r="H10" s="565" t="s">
        <v>8158</v>
      </c>
    </row>
    <row r="11" customFormat="false" ht="15" hidden="false" customHeight="true" outlineLevel="0" collapsed="false">
      <c r="B11" s="6" t="s">
        <v>8159</v>
      </c>
      <c r="C11" s="0" t="n">
        <f aca="false">'Sponsorships · Drivers'!C59</f>
        <v>15000</v>
      </c>
      <c r="D11" s="0" t="n">
        <f aca="false">C11/'Sponsorships · Revenue'!E27</f>
        <v>0.0522648083623693</v>
      </c>
      <c r="F11" s="0" t="s">
        <v>3663</v>
      </c>
      <c r="G11" s="6" t="n">
        <v>0</v>
      </c>
      <c r="H11" s="0" t="s">
        <v>8160</v>
      </c>
    </row>
    <row r="12" customFormat="false" ht="16.5" hidden="false" customHeight="true" outlineLevel="0" collapsed="false">
      <c r="B12" s="113" t="s">
        <v>8161</v>
      </c>
      <c r="C12" s="1277" t="n">
        <f aca="false">'Sponsorships · Drivers'!C61*'Sponsorships · Revenue'!E27</f>
        <v>14350</v>
      </c>
      <c r="D12" s="593" t="n">
        <f aca="false">C12/'Sponsorships · Revenue'!E27</f>
        <v>0.05</v>
      </c>
      <c r="E12" s="1278" t="n">
        <f aca="false">C12/IF(('Sponsorships · Drivers'!C28+'Sponsorships · Drivers'!C31+'Sponsorships · Drivers'!C34+'Sponsorships · Drivers'!C37+'Sponsorships · Drivers'!C40)=0,1,('Sponsorships · Drivers'!C28+'Sponsorships · Drivers'!C31+'Sponsorships · Drivers'!C34+'Sponsorships · Drivers'!C37+'Sponsorships · Drivers'!C40))</f>
        <v>755.263157894737</v>
      </c>
      <c r="F12" s="821" t="s">
        <v>4027</v>
      </c>
      <c r="G12" s="1279" t="n">
        <v>1</v>
      </c>
      <c r="H12" s="565" t="s">
        <v>8162</v>
      </c>
    </row>
    <row r="13" customFormat="false" ht="16.5" hidden="false" customHeight="true" outlineLevel="0" collapsed="false">
      <c r="B13" s="113" t="s">
        <v>8163</v>
      </c>
      <c r="C13" s="1277" t="n">
        <f aca="false">'Sponsorships · Drivers'!C62*'Sponsorships · Revenue'!E27</f>
        <v>8610</v>
      </c>
      <c r="D13" s="593" t="n">
        <f aca="false">C13/'Sponsorships · Revenue'!E27</f>
        <v>0.03</v>
      </c>
      <c r="E13" s="1278" t="n">
        <f aca="false">C13/IF(('Sponsorships · Drivers'!C28+'Sponsorships · Drivers'!C31+'Sponsorships · Drivers'!C34+'Sponsorships · Drivers'!C37+'Sponsorships · Drivers'!C40)=0,1,('Sponsorships · Drivers'!C28+'Sponsorships · Drivers'!C31+'Sponsorships · Drivers'!C34+'Sponsorships · Drivers'!C37+'Sponsorships · Drivers'!C40))</f>
        <v>453.157894736842</v>
      </c>
      <c r="F13" s="821" t="s">
        <v>4027</v>
      </c>
      <c r="G13" s="1279" t="n">
        <v>1</v>
      </c>
      <c r="H13" s="565" t="s">
        <v>8164</v>
      </c>
    </row>
    <row r="14" customFormat="false" ht="16.5" hidden="false" customHeight="true" outlineLevel="0" collapsed="false">
      <c r="B14" s="126" t="s">
        <v>8165</v>
      </c>
      <c r="C14" s="1277" t="n">
        <f aca="false">'Sponsorships · Drivers'!C64</f>
        <v>8000</v>
      </c>
      <c r="D14" s="593" t="n">
        <f aca="false">C14/'Sponsorships · Revenue'!E27</f>
        <v>0.0278745644599303</v>
      </c>
      <c r="E14" s="1278" t="n">
        <f aca="false">C14/IF(('Sponsorships · Drivers'!C28+'Sponsorships · Drivers'!C31+'Sponsorships · Drivers'!C34+'Sponsorships · Drivers'!C37+'Sponsorships · Drivers'!C40)=0,1,('Sponsorships · Drivers'!C28+'Sponsorships · Drivers'!C31+'Sponsorships · Drivers'!C34+'Sponsorships · Drivers'!C37+'Sponsorships · Drivers'!C40))</f>
        <v>421.052631578947</v>
      </c>
      <c r="F14" s="821" t="s">
        <v>3663</v>
      </c>
      <c r="G14" s="1279" t="n">
        <v>0</v>
      </c>
      <c r="H14" s="565" t="s">
        <v>8166</v>
      </c>
    </row>
    <row r="15" customFormat="false" ht="15" hidden="false" customHeight="true" outlineLevel="0" collapsed="false">
      <c r="B15" s="6"/>
      <c r="G15" s="6"/>
    </row>
    <row r="16" customFormat="false" ht="24" hidden="false" customHeight="true" outlineLevel="0" collapsed="false">
      <c r="B16" s="117" t="s">
        <v>4953</v>
      </c>
      <c r="C16" s="1436" t="n">
        <f aca="false">SUM(C7:C14)</f>
        <v>105960</v>
      </c>
      <c r="D16" s="1166" t="n">
        <f aca="false">C16/'Sponsorships · Revenue'!E27</f>
        <v>0.369198606271777</v>
      </c>
      <c r="G16" s="6"/>
    </row>
    <row r="17" customFormat="false" ht="15" hidden="false" customHeight="true" outlineLevel="0" collapsed="false">
      <c r="B17" s="6"/>
      <c r="G17" s="6"/>
    </row>
    <row r="18" customFormat="false" ht="21.75" hidden="false" customHeight="true" outlineLevel="0" collapsed="false">
      <c r="B18" s="575" t="s">
        <v>7134</v>
      </c>
      <c r="C18" s="575"/>
      <c r="D18" s="575"/>
      <c r="E18" s="575"/>
      <c r="F18" s="575"/>
      <c r="G18" s="575"/>
      <c r="H18" s="575"/>
    </row>
    <row r="19" customFormat="false" ht="15" hidden="false" customHeight="true" outlineLevel="0" collapsed="false">
      <c r="B19" s="81" t="s">
        <v>4957</v>
      </c>
      <c r="C19" s="406" t="n">
        <f aca="false">SUMPRODUCT(C7:C14,1-G7:G14)</f>
        <v>83000</v>
      </c>
      <c r="D19" s="1370" t="n">
        <f aca="false">C19/C16</f>
        <v>0.783314458286146</v>
      </c>
      <c r="G19" s="6"/>
    </row>
    <row r="20" customFormat="false" ht="15" hidden="false" customHeight="true" outlineLevel="0" collapsed="false">
      <c r="B20" s="663" t="s">
        <v>4958</v>
      </c>
      <c r="C20" s="1371" t="n">
        <f aca="false">SUMPRODUCT(C7:C14,G7:G14)</f>
        <v>22960</v>
      </c>
      <c r="D20" s="1370" t="n">
        <f aca="false">C20/C16</f>
        <v>0.216685541713854</v>
      </c>
      <c r="G20" s="6"/>
    </row>
    <row r="21" customFormat="false" ht="15" hidden="false" customHeight="true" outlineLevel="0" collapsed="false">
      <c r="B21" s="6"/>
      <c r="G21" s="6"/>
    </row>
    <row r="22" customFormat="false" ht="15" hidden="false" customHeight="true" outlineLevel="0" collapsed="false">
      <c r="B22" s="1076" t="s">
        <v>4959</v>
      </c>
      <c r="C22" s="1284" t="n">
        <f aca="false">C20/'Sponsorships · Revenue'!E27</f>
        <v>0.08</v>
      </c>
      <c r="G22" s="6"/>
    </row>
    <row r="23" customFormat="false" ht="15" hidden="false" customHeight="true" outlineLevel="0" collapsed="false">
      <c r="B23" s="6"/>
      <c r="G23" s="6"/>
    </row>
    <row r="24" customFormat="false" ht="15" hidden="false" customHeight="true" outlineLevel="0" collapsed="false">
      <c r="B24" s="592" t="s">
        <v>4961</v>
      </c>
      <c r="C24" s="1437" t="str">
        <f aca="false">IF(ABS((C19+C20)-C16)&lt;1,"✓ Reconciles","✗ Diff: "&amp;TEXT((C19+C20)-C16,"$#,##0"))</f>
        <v>✓ Reconciles</v>
      </c>
      <c r="G24" s="6"/>
    </row>
    <row r="25" customFormat="false" ht="15" hidden="false" customHeight="true" outlineLevel="0" collapsed="false">
      <c r="B25" s="6"/>
      <c r="G25" s="6"/>
    </row>
    <row r="26" customFormat="false" ht="21.75" hidden="false" customHeight="true" outlineLevel="0" collapsed="false">
      <c r="B26" s="125" t="s">
        <v>8167</v>
      </c>
      <c r="C26" s="125"/>
      <c r="D26" s="125"/>
      <c r="E26" s="125"/>
      <c r="F26" s="125"/>
      <c r="G26" s="125"/>
      <c r="H26" s="125"/>
    </row>
    <row r="27" customFormat="false" ht="15" hidden="false" customHeight="true" outlineLevel="0" collapsed="false">
      <c r="B27" s="6" t="s">
        <v>4962</v>
      </c>
      <c r="C27" s="1374" t="n">
        <f aca="false">'Sponsorships · Revenue'!E27</f>
        <v>287000</v>
      </c>
      <c r="G27" s="6"/>
    </row>
    <row r="28" customFormat="false" ht="15" hidden="false" customHeight="true" outlineLevel="0" collapsed="false">
      <c r="B28" s="6" t="s">
        <v>4963</v>
      </c>
      <c r="C28" s="1375" t="n">
        <f aca="false">-C16</f>
        <v>-105960</v>
      </c>
      <c r="G28" s="6"/>
    </row>
    <row r="29" customFormat="false" ht="17.25" hidden="false" customHeight="true" outlineLevel="0" collapsed="false">
      <c r="B29" s="1376" t="s">
        <v>7380</v>
      </c>
      <c r="C29" s="1377" t="n">
        <f aca="false">C27+C28</f>
        <v>181040</v>
      </c>
      <c r="G29" s="6"/>
    </row>
    <row r="30" customFormat="false" ht="15" hidden="false" customHeight="true" outlineLevel="0" collapsed="false">
      <c r="B30" s="592" t="s">
        <v>4991</v>
      </c>
      <c r="C30" s="1156" t="n">
        <f aca="false">C29/C27</f>
        <v>0.630801393728223</v>
      </c>
      <c r="D30" s="565" t="s">
        <v>8168</v>
      </c>
      <c r="G30" s="6"/>
    </row>
  </sheetData>
  <mergeCells count="6">
    <mergeCell ref="B2:F2"/>
    <mergeCell ref="G2:J2"/>
    <mergeCell ref="B3:J3"/>
    <mergeCell ref="B5:H5"/>
    <mergeCell ref="B18:H18"/>
    <mergeCell ref="B26:H26"/>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K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8169</v>
      </c>
      <c r="C2" s="88"/>
      <c r="D2" s="88"/>
      <c r="E2" s="88"/>
      <c r="F2" s="88"/>
      <c r="G2" s="88"/>
      <c r="H2" s="89" t="s">
        <v>995</v>
      </c>
      <c r="I2" s="89"/>
      <c r="J2" s="89"/>
      <c r="K2" s="89"/>
    </row>
    <row r="3" customFormat="false" ht="33.75" hidden="false" customHeight="true" outlineLevel="0" collapsed="false">
      <c r="B3" s="90" t="s">
        <v>5924</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206</v>
      </c>
      <c r="C5" s="98" t="s">
        <v>760</v>
      </c>
      <c r="D5" s="98" t="s">
        <v>908</v>
      </c>
      <c r="E5" s="98" t="s">
        <v>765</v>
      </c>
      <c r="F5" s="98" t="s">
        <v>770</v>
      </c>
      <c r="G5" s="98" t="s">
        <v>909</v>
      </c>
      <c r="H5" s="98" t="s">
        <v>910</v>
      </c>
      <c r="I5" s="98" t="s">
        <v>911</v>
      </c>
      <c r="J5" s="98" t="s">
        <v>912</v>
      </c>
      <c r="K5" s="99" t="s">
        <v>875</v>
      </c>
    </row>
    <row r="6" customFormat="false" ht="15" hidden="false" customHeight="true" outlineLevel="0" collapsed="false">
      <c r="B6" s="592" t="s">
        <v>4059</v>
      </c>
      <c r="C6" s="1378" t="n">
        <v>0.8</v>
      </c>
      <c r="D6" s="1378" t="n">
        <v>0.9</v>
      </c>
      <c r="E6" s="1378" t="n">
        <v>1</v>
      </c>
      <c r="F6" s="1378" t="n">
        <v>1</v>
      </c>
      <c r="G6" s="1378" t="n">
        <v>1</v>
      </c>
      <c r="H6" s="1378" t="n">
        <v>1.05</v>
      </c>
      <c r="I6" s="1378" t="n">
        <v>1.05</v>
      </c>
      <c r="J6" s="1378" t="n">
        <v>1.05</v>
      </c>
      <c r="K6" s="6"/>
    </row>
    <row r="7" customFormat="false" ht="15" hidden="false" customHeight="true" outlineLevel="0" collapsed="false">
      <c r="B7" s="592" t="s">
        <v>5925</v>
      </c>
      <c r="C7" s="1379" t="n">
        <f aca="false">(1+0.03)^0</f>
        <v>1</v>
      </c>
      <c r="D7" s="1379" t="n">
        <f aca="false">(1+0.03)^1</f>
        <v>1.03</v>
      </c>
      <c r="E7" s="1379" t="n">
        <f aca="false">(1+0.03)^2</f>
        <v>1.0609</v>
      </c>
      <c r="F7" s="1379" t="n">
        <f aca="false">(1+0.03)^3</f>
        <v>1.092727</v>
      </c>
      <c r="G7" s="1379" t="n">
        <f aca="false">(1+0.03)^4</f>
        <v>1.12550881</v>
      </c>
      <c r="H7" s="1379" t="n">
        <f aca="false">(1+0.03)^5</f>
        <v>1.1592740743</v>
      </c>
      <c r="I7" s="1379" t="n">
        <f aca="false">(1+0.03)^6</f>
        <v>1.194052296529</v>
      </c>
      <c r="J7" s="1379" t="n">
        <f aca="false">(1+0.03)^7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380" t="s">
        <v>4062</v>
      </c>
      <c r="C10" s="720" t="n">
        <f aca="false">'Sponsorships · Revenue'!E27</f>
        <v>287000</v>
      </c>
      <c r="D10" s="720" t="n">
        <f aca="false">'Sponsorships · Revenue'!E27</f>
        <v>287000</v>
      </c>
      <c r="E10" s="720" t="n">
        <f aca="false">'Sponsorships · Revenue'!E27</f>
        <v>287000</v>
      </c>
      <c r="F10" s="720" t="n">
        <f aca="false">'Sponsorships · Revenue'!E27</f>
        <v>287000</v>
      </c>
      <c r="G10" s="720" t="n">
        <f aca="false">'Sponsorships · Revenue'!E27</f>
        <v>287000</v>
      </c>
      <c r="H10" s="720" t="n">
        <f aca="false">'Sponsorships · Revenue'!E27</f>
        <v>287000</v>
      </c>
      <c r="I10" s="720" t="n">
        <f aca="false">'Sponsorships · Revenue'!E27</f>
        <v>287000</v>
      </c>
      <c r="J10" s="720" t="n">
        <f aca="false">'Sponsorships · Revenue'!E27</f>
        <v>287000</v>
      </c>
      <c r="K10" s="6"/>
    </row>
    <row r="11" customFormat="false" ht="15" hidden="false" customHeight="true" outlineLevel="0" collapsed="false">
      <c r="B11" s="81" t="s">
        <v>4063</v>
      </c>
      <c r="C11" s="544" t="n">
        <f aca="false">'Sponsorships · Revenue'!E27*C6*C7</f>
        <v>229600</v>
      </c>
      <c r="D11" s="544" t="n">
        <f aca="false">'Sponsorships · Revenue'!E27*D6*D7</f>
        <v>266049</v>
      </c>
      <c r="E11" s="544" t="n">
        <f aca="false">'Sponsorships · Revenue'!E27*E6*E7</f>
        <v>304478.3</v>
      </c>
      <c r="F11" s="544" t="n">
        <f aca="false">'Sponsorships · Revenue'!E27*F6*F7</f>
        <v>313612.649</v>
      </c>
      <c r="G11" s="544" t="n">
        <f aca="false">'Sponsorships · Revenue'!E27*G6*G7</f>
        <v>323021.02847</v>
      </c>
      <c r="H11" s="544" t="n">
        <f aca="false">'Sponsorships · Revenue'!E27*H6*H7</f>
        <v>349347.242290305</v>
      </c>
      <c r="I11" s="544" t="n">
        <f aca="false">'Sponsorships · Revenue'!E27*I6*I7</f>
        <v>359827.659559014</v>
      </c>
      <c r="J11" s="544" t="n">
        <f aca="false">'Sponsorships · Revenue'!E27*J6*J7</f>
        <v>370622.489345785</v>
      </c>
      <c r="K11" s="1381" t="n">
        <f aca="false">SUM(C11:J11)</f>
        <v>2516558.3686651</v>
      </c>
    </row>
    <row r="12" customFormat="false" ht="15" hidden="false" customHeight="true" outlineLevel="0" collapsed="false">
      <c r="B12" s="1382" t="s">
        <v>4064</v>
      </c>
      <c r="D12" s="593" t="n">
        <f aca="false">D11/C11-1</f>
        <v>0.15875</v>
      </c>
      <c r="E12" s="593" t="n">
        <f aca="false">E11/D11-1</f>
        <v>0.144444444444444</v>
      </c>
      <c r="F12" s="593" t="n">
        <f aca="false">F11/E11-1</f>
        <v>0.03</v>
      </c>
      <c r="G12" s="593" t="n">
        <f aca="false">G11/F11-1</f>
        <v>0.0300000000000003</v>
      </c>
      <c r="H12" s="593" t="n">
        <f aca="false">H11/G11-1</f>
        <v>0.0815000000000001</v>
      </c>
      <c r="I12" s="593" t="n">
        <f aca="false">I11/H11-1</f>
        <v>0.03</v>
      </c>
      <c r="J12" s="593"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4066</v>
      </c>
      <c r="C15" s="360" t="n">
        <f aca="false">'Sponsorships · Costs'!C19*C7</f>
        <v>83000</v>
      </c>
      <c r="D15" s="360" t="n">
        <f aca="false">'Sponsorships · Costs'!C19*D7</f>
        <v>85490</v>
      </c>
      <c r="E15" s="360" t="n">
        <f aca="false">'Sponsorships · Costs'!C19*E7</f>
        <v>88054.7</v>
      </c>
      <c r="F15" s="360" t="n">
        <f aca="false">'Sponsorships · Costs'!C19*F7</f>
        <v>90696.341</v>
      </c>
      <c r="G15" s="360" t="n">
        <f aca="false">'Sponsorships · Costs'!C19*G7</f>
        <v>93417.23123</v>
      </c>
      <c r="H15" s="360" t="n">
        <f aca="false">'Sponsorships · Costs'!C19*H7</f>
        <v>96219.7481669</v>
      </c>
      <c r="I15" s="360" t="n">
        <f aca="false">'Sponsorships · Costs'!C19*I7</f>
        <v>99106.340611907</v>
      </c>
      <c r="J15" s="360" t="n">
        <f aca="false">'Sponsorships · Costs'!C19*J7</f>
        <v>102079.530830264</v>
      </c>
      <c r="K15" s="6"/>
    </row>
    <row r="16" customFormat="false" ht="15" hidden="false" customHeight="true" outlineLevel="0" collapsed="false">
      <c r="B16" s="126" t="s">
        <v>4067</v>
      </c>
      <c r="C16" s="360" t="n">
        <f aca="false">'Sponsorships · Costs'!C20*C6*C7</f>
        <v>18368</v>
      </c>
      <c r="D16" s="360" t="n">
        <f aca="false">'Sponsorships · Costs'!C20*D6*D7</f>
        <v>21283.92</v>
      </c>
      <c r="E16" s="360" t="n">
        <f aca="false">'Sponsorships · Costs'!C20*E6*E7</f>
        <v>24358.264</v>
      </c>
      <c r="F16" s="360" t="n">
        <f aca="false">'Sponsorships · Costs'!C20*F6*F7</f>
        <v>25089.01192</v>
      </c>
      <c r="G16" s="360" t="n">
        <f aca="false">'Sponsorships · Costs'!C20*G6*G7</f>
        <v>25841.6822776</v>
      </c>
      <c r="H16" s="360" t="n">
        <f aca="false">'Sponsorships · Costs'!C20*H6*H7</f>
        <v>27947.7793832244</v>
      </c>
      <c r="I16" s="360" t="n">
        <f aca="false">'Sponsorships · Costs'!C20*I6*I7</f>
        <v>28786.2127647211</v>
      </c>
      <c r="J16" s="360" t="n">
        <f aca="false">'Sponsorships · Costs'!C20*J6*J7</f>
        <v>29649.7991476628</v>
      </c>
      <c r="K16" s="6"/>
    </row>
    <row r="17" customFormat="false" ht="15" hidden="false" customHeight="true" outlineLevel="0" collapsed="false">
      <c r="B17" s="81" t="s">
        <v>4068</v>
      </c>
      <c r="C17" s="599" t="n">
        <f aca="false">C15+C16</f>
        <v>101368</v>
      </c>
      <c r="D17" s="599" t="n">
        <f aca="false">D15+D16</f>
        <v>106773.92</v>
      </c>
      <c r="E17" s="599" t="n">
        <f aca="false">E15+E16</f>
        <v>112412.964</v>
      </c>
      <c r="F17" s="599" t="n">
        <f aca="false">F15+F16</f>
        <v>115785.35292</v>
      </c>
      <c r="G17" s="599" t="n">
        <f aca="false">G15+G16</f>
        <v>119258.9135076</v>
      </c>
      <c r="H17" s="599" t="n">
        <f aca="false">H15+H16</f>
        <v>124167.527550124</v>
      </c>
      <c r="I17" s="599" t="n">
        <f aca="false">I15+I16</f>
        <v>127892.553376628</v>
      </c>
      <c r="J17" s="599" t="n">
        <f aca="false">J15+J16</f>
        <v>131729.329977927</v>
      </c>
      <c r="K17" s="1381" t="n">
        <f aca="false">SUM(C17:J17)</f>
        <v>939388.56133228</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15" hidden="false" customHeight="true" outlineLevel="0" collapsed="false">
      <c r="B20" s="81" t="s">
        <v>3437</v>
      </c>
      <c r="C20" s="577" t="n">
        <f aca="false">C11-C17</f>
        <v>128232</v>
      </c>
      <c r="D20" s="577" t="n">
        <f aca="false">D11-D17</f>
        <v>159275.08</v>
      </c>
      <c r="E20" s="577" t="n">
        <f aca="false">E11-E17</f>
        <v>192065.336</v>
      </c>
      <c r="F20" s="577" t="n">
        <f aca="false">F11-F17</f>
        <v>197827.29608</v>
      </c>
      <c r="G20" s="577" t="n">
        <f aca="false">G11-G17</f>
        <v>203762.1149624</v>
      </c>
      <c r="H20" s="577" t="n">
        <f aca="false">H11-H17</f>
        <v>225179.714740181</v>
      </c>
      <c r="I20" s="577" t="n">
        <f aca="false">I11-I17</f>
        <v>231935.106182386</v>
      </c>
      <c r="J20" s="577" t="n">
        <f aca="false">J11-J17</f>
        <v>238893.159367858</v>
      </c>
      <c r="K20" s="1383" t="n">
        <f aca="false">SUM(C20:J20)</f>
        <v>1577169.80733282</v>
      </c>
    </row>
    <row r="21" customFormat="false" ht="15" hidden="false" customHeight="true" outlineLevel="0" collapsed="false">
      <c r="B21" s="1382" t="s">
        <v>4387</v>
      </c>
      <c r="C21" s="593" t="n">
        <f aca="false">C20/C11</f>
        <v>0.558501742160279</v>
      </c>
      <c r="D21" s="593" t="n">
        <f aca="false">D20/D11</f>
        <v>0.598668215253581</v>
      </c>
      <c r="E21" s="593" t="n">
        <f aca="false">E20/E11</f>
        <v>0.630801393728223</v>
      </c>
      <c r="F21" s="593" t="n">
        <f aca="false">F20/F11</f>
        <v>0.630801393728223</v>
      </c>
      <c r="G21" s="593" t="n">
        <f aca="false">G20/G11</f>
        <v>0.630801393728223</v>
      </c>
      <c r="H21" s="593" t="n">
        <f aca="false">H20/H11</f>
        <v>0.644572755931641</v>
      </c>
      <c r="I21" s="593" t="n">
        <f aca="false">I20/I11</f>
        <v>0.644572755931641</v>
      </c>
      <c r="J21" s="593" t="n">
        <f aca="false">J20/J11</f>
        <v>0.644572755931641</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1164" t="s">
        <v>4072</v>
      </c>
      <c r="C24" s="387" t="n">
        <f aca="false">C11</f>
        <v>229600</v>
      </c>
      <c r="D24" s="387" t="n">
        <f aca="false">C24+D11</f>
        <v>495649</v>
      </c>
      <c r="E24" s="387" t="n">
        <f aca="false">D24+E11</f>
        <v>800127.3</v>
      </c>
      <c r="F24" s="387" t="n">
        <f aca="false">E24+F11</f>
        <v>1113739.949</v>
      </c>
      <c r="G24" s="387" t="n">
        <f aca="false">F24+G11</f>
        <v>1436760.97747</v>
      </c>
      <c r="H24" s="387" t="n">
        <f aca="false">G24+H11</f>
        <v>1786108.21976031</v>
      </c>
      <c r="I24" s="387" t="n">
        <f aca="false">H24+I11</f>
        <v>2145935.87931932</v>
      </c>
      <c r="J24" s="387" t="n">
        <f aca="false">I24+J11</f>
        <v>2516558.3686651</v>
      </c>
      <c r="K24" s="6"/>
    </row>
    <row r="25" customFormat="false" ht="15" hidden="false" customHeight="true" outlineLevel="0" collapsed="false">
      <c r="B25" s="1164" t="s">
        <v>4073</v>
      </c>
      <c r="C25" s="387" t="n">
        <f aca="false">C20</f>
        <v>128232</v>
      </c>
      <c r="D25" s="387" t="n">
        <f aca="false">C25+D20</f>
        <v>287507.08</v>
      </c>
      <c r="E25" s="387" t="n">
        <f aca="false">D25+E20</f>
        <v>479572.416</v>
      </c>
      <c r="F25" s="387" t="n">
        <f aca="false">E25+F20</f>
        <v>677399.71208</v>
      </c>
      <c r="G25" s="387" t="n">
        <f aca="false">F25+G20</f>
        <v>881161.8270424</v>
      </c>
      <c r="H25" s="387" t="n">
        <f aca="false">G25+H20</f>
        <v>1106341.54178258</v>
      </c>
      <c r="I25" s="387" t="n">
        <f aca="false">H25+I20</f>
        <v>1338276.64796497</v>
      </c>
      <c r="J25" s="387" t="n">
        <f aca="false">I25+J20</f>
        <v>1577169.80733282</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125" t="s">
        <v>5926</v>
      </c>
      <c r="C28" s="125"/>
      <c r="D28" s="125"/>
      <c r="E28" s="125"/>
      <c r="F28" s="125"/>
      <c r="G28" s="125"/>
      <c r="H28" s="125"/>
      <c r="I28" s="125"/>
      <c r="J28" s="125"/>
      <c r="K28" s="125"/>
    </row>
    <row r="29" customFormat="false" ht="21.75" hidden="false" customHeight="true" outlineLevel="0" collapsed="false">
      <c r="B29" s="97" t="s">
        <v>206</v>
      </c>
      <c r="C29" s="98" t="s">
        <v>393</v>
      </c>
      <c r="D29" s="98" t="s">
        <v>778</v>
      </c>
      <c r="K29" s="6"/>
    </row>
    <row r="30" customFormat="false" ht="15" hidden="false" customHeight="true" outlineLevel="0" collapsed="false">
      <c r="B30" s="113" t="s">
        <v>4075</v>
      </c>
      <c r="C30" s="544" t="n">
        <f aca="false">C11</f>
        <v>229600</v>
      </c>
      <c r="D30" s="634" t="s">
        <v>5927</v>
      </c>
      <c r="K30" s="6"/>
    </row>
    <row r="31" customFormat="false" ht="15" hidden="false" customHeight="true" outlineLevel="0" collapsed="false">
      <c r="B31" s="113" t="s">
        <v>4077</v>
      </c>
      <c r="C31" s="544" t="n">
        <f aca="false">J11</f>
        <v>370622.489345785</v>
      </c>
      <c r="D31" s="634" t="s">
        <v>5928</v>
      </c>
      <c r="K31" s="6"/>
    </row>
    <row r="32" customFormat="false" ht="15" hidden="false" customHeight="true" outlineLevel="0" collapsed="false">
      <c r="B32" s="113" t="s">
        <v>3460</v>
      </c>
      <c r="C32" s="544" t="n">
        <f aca="false">K11</f>
        <v>2516558.3686651</v>
      </c>
      <c r="D32" s="634" t="s">
        <v>4079</v>
      </c>
      <c r="K32" s="6"/>
    </row>
    <row r="33" customFormat="false" ht="15" hidden="false" customHeight="true" outlineLevel="0" collapsed="false">
      <c r="B33" s="113" t="s">
        <v>5929</v>
      </c>
      <c r="C33" s="544" t="n">
        <f aca="false">K20</f>
        <v>1577169.80733282</v>
      </c>
      <c r="D33" s="634" t="s">
        <v>4081</v>
      </c>
      <c r="K33" s="6"/>
    </row>
    <row r="34" customFormat="false" ht="15" hidden="false" customHeight="true" outlineLevel="0" collapsed="false">
      <c r="B34" s="113" t="s">
        <v>5930</v>
      </c>
      <c r="C34" s="1288" t="n">
        <f aca="false">K20/K11</f>
        <v>0.626716958752452</v>
      </c>
      <c r="D34" s="634" t="s">
        <v>4083</v>
      </c>
      <c r="K34" s="6"/>
    </row>
    <row r="35" customFormat="false" ht="15" hidden="false" customHeight="true" outlineLevel="0" collapsed="false">
      <c r="B35" s="113" t="s">
        <v>4084</v>
      </c>
      <c r="C35" s="1288" t="n">
        <f aca="false">(J11/C11)^(1/7)-1</f>
        <v>0.0708004745979443</v>
      </c>
      <c r="D35" s="634" t="s">
        <v>4085</v>
      </c>
      <c r="K35" s="6"/>
    </row>
  </sheetData>
  <mergeCells count="8">
    <mergeCell ref="B2:G2"/>
    <mergeCell ref="H2:K2"/>
    <mergeCell ref="B3:K3"/>
    <mergeCell ref="B9:K9"/>
    <mergeCell ref="B14:K14"/>
    <mergeCell ref="B19:K19"/>
    <mergeCell ref="B23:K23"/>
    <mergeCell ref="B28:K2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8170</v>
      </c>
      <c r="C2" s="88"/>
      <c r="D2" s="88"/>
      <c r="E2" s="88"/>
      <c r="F2" s="88"/>
      <c r="G2" s="88"/>
      <c r="H2" s="89" t="s">
        <v>995</v>
      </c>
      <c r="I2" s="89"/>
      <c r="J2" s="89"/>
      <c r="K2" s="89"/>
    </row>
    <row r="3" customFormat="false" ht="33.75" hidden="false" customHeight="true" outlineLevel="0" collapsed="false">
      <c r="B3" s="90" t="s">
        <v>5932</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575" t="s">
        <v>4061</v>
      </c>
      <c r="C6" s="575"/>
      <c r="D6" s="575"/>
      <c r="E6" s="575"/>
      <c r="F6" s="575"/>
      <c r="G6" s="575"/>
      <c r="H6" s="575"/>
      <c r="I6" s="575"/>
      <c r="J6" s="575"/>
      <c r="K6" s="575"/>
    </row>
    <row r="7" customFormat="false" ht="15" hidden="false" customHeight="true" outlineLevel="0" collapsed="false">
      <c r="B7" s="81" t="s">
        <v>207</v>
      </c>
      <c r="C7" s="406" t="n">
        <f aca="false">'Sponsorships · 8-Year'!C11</f>
        <v>229600</v>
      </c>
      <c r="D7" s="406" t="n">
        <f aca="false">'Sponsorships · 8-Year'!D11</f>
        <v>266049</v>
      </c>
      <c r="E7" s="406" t="n">
        <f aca="false">'Sponsorships · 8-Year'!E11</f>
        <v>304478.3</v>
      </c>
      <c r="F7" s="406" t="n">
        <f aca="false">'Sponsorships · 8-Year'!F11</f>
        <v>313612.649</v>
      </c>
      <c r="G7" s="406" t="n">
        <f aca="false">'Sponsorships · 8-Year'!G11</f>
        <v>323021.02847</v>
      </c>
      <c r="H7" s="406" t="n">
        <f aca="false">'Sponsorships · 8-Year'!H11</f>
        <v>349347.242290305</v>
      </c>
      <c r="I7" s="406" t="n">
        <f aca="false">'Sponsorships · 8-Year'!I11</f>
        <v>359827.659559014</v>
      </c>
      <c r="J7" s="406" t="n">
        <f aca="false">'Sponsorships · 8-Year'!J11</f>
        <v>370622.489345785</v>
      </c>
      <c r="K7" s="546" t="n">
        <f aca="false">SUM(C7:J7)</f>
        <v>2516558.3686651</v>
      </c>
    </row>
    <row r="8" customFormat="false" ht="15" hidden="false" customHeight="true" outlineLevel="0" collapsed="false">
      <c r="B8" s="6"/>
      <c r="K8" s="6"/>
    </row>
    <row r="9" customFormat="false" ht="21.75" hidden="false" customHeight="true" outlineLevel="0" collapsed="false">
      <c r="B9" s="123" t="s">
        <v>4091</v>
      </c>
      <c r="C9" s="123"/>
      <c r="D9" s="123"/>
      <c r="E9" s="123"/>
      <c r="F9" s="123"/>
      <c r="G9" s="123"/>
      <c r="H9" s="123"/>
      <c r="I9" s="123"/>
      <c r="J9" s="123"/>
      <c r="K9" s="123"/>
    </row>
    <row r="10" customFormat="false" ht="15" hidden="false" customHeight="true" outlineLevel="0" collapsed="false">
      <c r="B10" s="113" t="s">
        <v>4092</v>
      </c>
      <c r="C10" s="360" t="n">
        <f aca="false">-'Sponsorships · 8-Year'!C17</f>
        <v>-101368</v>
      </c>
      <c r="D10" s="360" t="n">
        <f aca="false">-'Sponsorships · 8-Year'!D17</f>
        <v>-106773.92</v>
      </c>
      <c r="E10" s="360" t="n">
        <f aca="false">-'Sponsorships · 8-Year'!E17</f>
        <v>-112412.964</v>
      </c>
      <c r="F10" s="360" t="n">
        <f aca="false">-'Sponsorships · 8-Year'!F17</f>
        <v>-115785.35292</v>
      </c>
      <c r="G10" s="360" t="n">
        <f aca="false">-'Sponsorships · 8-Year'!G17</f>
        <v>-119258.9135076</v>
      </c>
      <c r="H10" s="360" t="n">
        <f aca="false">-'Sponsorships · 8-Year'!H17</f>
        <v>-124167.527550124</v>
      </c>
      <c r="I10" s="360" t="n">
        <f aca="false">-'Sponsorships · 8-Year'!I17</f>
        <v>-127892.553376628</v>
      </c>
      <c r="J10" s="360" t="n">
        <f aca="false">-'Sponsorships · 8-Year'!J17</f>
        <v>-131729.329977927</v>
      </c>
      <c r="K10" s="1384" t="n">
        <f aca="false">SUM(C10:J10)</f>
        <v>-939388.56133228</v>
      </c>
    </row>
    <row r="11" customFormat="false" ht="15" hidden="false" customHeight="true" outlineLevel="0" collapsed="false">
      <c r="B11" s="6"/>
      <c r="K11" s="6"/>
    </row>
    <row r="12" customFormat="false" ht="21.75" hidden="false" customHeight="true" outlineLevel="0" collapsed="false">
      <c r="B12" s="72" t="s">
        <v>4093</v>
      </c>
      <c r="C12" s="72"/>
      <c r="D12" s="72"/>
      <c r="E12" s="72"/>
      <c r="F12" s="72"/>
      <c r="G12" s="72"/>
      <c r="H12" s="72"/>
      <c r="I12" s="72"/>
      <c r="J12" s="72"/>
      <c r="K12" s="72"/>
    </row>
    <row r="13" customFormat="false" ht="15" hidden="false" customHeight="true" outlineLevel="0" collapsed="false">
      <c r="B13" s="81" t="s">
        <v>4094</v>
      </c>
      <c r="C13" s="577" t="n">
        <f aca="false">C7+C10</f>
        <v>128232</v>
      </c>
      <c r="D13" s="577" t="n">
        <f aca="false">D7+D10</f>
        <v>159275.08</v>
      </c>
      <c r="E13" s="577" t="n">
        <f aca="false">E7+E10</f>
        <v>192065.336</v>
      </c>
      <c r="F13" s="577" t="n">
        <f aca="false">F7+F10</f>
        <v>197827.29608</v>
      </c>
      <c r="G13" s="577" t="n">
        <f aca="false">G7+G10</f>
        <v>203762.1149624</v>
      </c>
      <c r="H13" s="577" t="n">
        <f aca="false">H7+H10</f>
        <v>225179.714740181</v>
      </c>
      <c r="I13" s="577" t="n">
        <f aca="false">I7+I10</f>
        <v>231935.106182386</v>
      </c>
      <c r="J13" s="577" t="n">
        <f aca="false">J7+J10</f>
        <v>238893.159367858</v>
      </c>
      <c r="K13" s="1383" t="n">
        <f aca="false">SUM(C13:J13)</f>
        <v>1577169.80733282</v>
      </c>
    </row>
    <row r="14" customFormat="false" ht="15" hidden="false" customHeight="true" outlineLevel="0" collapsed="false">
      <c r="B14" s="1382" t="s">
        <v>4095</v>
      </c>
      <c r="C14" s="593" t="n">
        <f aca="false">C13/C7</f>
        <v>0.558501742160279</v>
      </c>
      <c r="D14" s="593" t="n">
        <f aca="false">D13/D7</f>
        <v>0.598668215253581</v>
      </c>
      <c r="E14" s="593" t="n">
        <f aca="false">E13/E7</f>
        <v>0.630801393728223</v>
      </c>
      <c r="F14" s="593" t="n">
        <f aca="false">F13/F7</f>
        <v>0.630801393728223</v>
      </c>
      <c r="G14" s="593" t="n">
        <f aca="false">G13/G7</f>
        <v>0.630801393728223</v>
      </c>
      <c r="H14" s="593" t="n">
        <f aca="false">H13/H7</f>
        <v>0.644572755931641</v>
      </c>
      <c r="I14" s="593" t="n">
        <f aca="false">I13/I7</f>
        <v>0.644572755931641</v>
      </c>
      <c r="J14" s="593" t="n">
        <f aca="false">J13/J7</f>
        <v>0.644572755931641</v>
      </c>
      <c r="K14" s="6"/>
    </row>
    <row r="15" customFormat="false" ht="15" hidden="false" customHeight="true" outlineLevel="0" collapsed="false">
      <c r="B15" s="6"/>
      <c r="K15" s="6"/>
    </row>
    <row r="16" customFormat="false" ht="15" hidden="false" customHeight="true" outlineLevel="0" collapsed="false">
      <c r="B16" s="592" t="s">
        <v>4096</v>
      </c>
      <c r="D16" s="593" t="n">
        <f aca="false">D7/C7-1</f>
        <v>0.15875</v>
      </c>
      <c r="E16" s="593" t="n">
        <f aca="false">E7/D7-1</f>
        <v>0.144444444444444</v>
      </c>
      <c r="F16" s="593" t="n">
        <f aca="false">F7/E7-1</f>
        <v>0.03</v>
      </c>
      <c r="G16" s="593" t="n">
        <f aca="false">G7/F7-1</f>
        <v>0.0300000000000003</v>
      </c>
      <c r="H16" s="593" t="n">
        <f aca="false">H7/G7-1</f>
        <v>0.0815000000000001</v>
      </c>
      <c r="I16" s="593" t="n">
        <f aca="false">I7/H7-1</f>
        <v>0.03</v>
      </c>
      <c r="J16" s="593" t="n">
        <f aca="false">J7/I7-1</f>
        <v>0.03</v>
      </c>
      <c r="K16" s="6"/>
    </row>
    <row r="17" customFormat="false" ht="15" hidden="false" customHeight="true" outlineLevel="0" collapsed="false">
      <c r="B17" s="6"/>
      <c r="K17" s="6"/>
    </row>
    <row r="18" customFormat="false" ht="15" hidden="false" customHeight="true" outlineLevel="0" collapsed="false">
      <c r="B18" s="6"/>
      <c r="K18" s="6"/>
    </row>
    <row r="19" customFormat="false" ht="21.75" hidden="false" customHeight="true" outlineLevel="0" collapsed="false">
      <c r="B19" s="575" t="s">
        <v>4097</v>
      </c>
      <c r="C19" s="575"/>
      <c r="D19" s="575"/>
      <c r="E19" s="575"/>
      <c r="F19" s="575"/>
      <c r="G19" s="575"/>
      <c r="H19" s="575"/>
      <c r="I19" s="575"/>
      <c r="J19" s="575"/>
      <c r="K19" s="575"/>
    </row>
    <row r="20" customFormat="false" ht="21.75" hidden="false" customHeight="true" outlineLevel="0" collapsed="false">
      <c r="B20" s="97" t="s">
        <v>206</v>
      </c>
      <c r="C20" s="98" t="s">
        <v>393</v>
      </c>
      <c r="D20" s="98" t="s">
        <v>86</v>
      </c>
      <c r="K20" s="6"/>
    </row>
    <row r="21" customFormat="false" ht="15" hidden="false" customHeight="true" outlineLevel="0" collapsed="false">
      <c r="B21" s="113" t="s">
        <v>3457</v>
      </c>
      <c r="C21" s="544" t="n">
        <f aca="false">C7</f>
        <v>229600</v>
      </c>
      <c r="D21" s="634" t="s">
        <v>5933</v>
      </c>
      <c r="K21" s="6"/>
    </row>
    <row r="22" customFormat="false" ht="15" hidden="false" customHeight="true" outlineLevel="0" collapsed="false">
      <c r="B22" s="113" t="s">
        <v>3458</v>
      </c>
      <c r="C22" s="544" t="n">
        <f aca="false">F7</f>
        <v>313612.649</v>
      </c>
      <c r="D22" s="634" t="s">
        <v>4099</v>
      </c>
      <c r="K22" s="6"/>
    </row>
    <row r="23" customFormat="false" ht="15" hidden="false" customHeight="true" outlineLevel="0" collapsed="false">
      <c r="B23" s="113" t="s">
        <v>4100</v>
      </c>
      <c r="C23" s="544" t="n">
        <f aca="false">J7</f>
        <v>370622.489345785</v>
      </c>
      <c r="D23" s="634" t="s">
        <v>4101</v>
      </c>
      <c r="K23" s="6"/>
    </row>
    <row r="24" customFormat="false" ht="15" hidden="false" customHeight="true" outlineLevel="0" collapsed="false">
      <c r="B24" s="113" t="s">
        <v>3460</v>
      </c>
      <c r="C24" s="544" t="n">
        <f aca="false">K7</f>
        <v>2516558.3686651</v>
      </c>
      <c r="D24" s="634" t="s">
        <v>4102</v>
      </c>
      <c r="K24" s="6"/>
    </row>
    <row r="25" customFormat="false" ht="15" hidden="false" customHeight="true" outlineLevel="0" collapsed="false">
      <c r="B25" s="113" t="s">
        <v>3461</v>
      </c>
      <c r="C25" s="544" t="n">
        <f aca="false">K13</f>
        <v>1577169.80733282</v>
      </c>
      <c r="D25" s="634" t="s">
        <v>4103</v>
      </c>
      <c r="K25" s="6"/>
    </row>
    <row r="26" customFormat="false" ht="15" hidden="false" customHeight="true" outlineLevel="0" collapsed="false">
      <c r="B26" s="113" t="s">
        <v>4104</v>
      </c>
      <c r="C26" s="1288" t="n">
        <f aca="false">K13/K7</f>
        <v>0.626716958752452</v>
      </c>
      <c r="D26" s="634" t="s">
        <v>4105</v>
      </c>
      <c r="K26" s="6"/>
    </row>
    <row r="27" customFormat="false" ht="15" hidden="false" customHeight="true" outlineLevel="0" collapsed="false">
      <c r="B27" s="113" t="s">
        <v>4106</v>
      </c>
      <c r="C27" s="1288" t="n">
        <f aca="false">(J7/C7)^(1/7)-1</f>
        <v>0.0708004745979443</v>
      </c>
      <c r="D27" s="634" t="s">
        <v>4107</v>
      </c>
      <c r="K27" s="6"/>
    </row>
    <row r="28" customFormat="false" ht="15" hidden="false" customHeight="true" outlineLevel="0" collapsed="false">
      <c r="B28" s="6"/>
      <c r="K28" s="6"/>
    </row>
    <row r="29" customFormat="false" ht="15" hidden="false" customHeight="true" outlineLevel="0" collapsed="false">
      <c r="B29" s="6"/>
      <c r="K29" s="6"/>
    </row>
    <row r="30" customFormat="false" ht="21.75" hidden="false" customHeight="true" outlineLevel="0" collapsed="false">
      <c r="B30" s="304" t="s">
        <v>5934</v>
      </c>
      <c r="C30" s="304"/>
      <c r="D30" s="304"/>
      <c r="E30" s="304"/>
      <c r="F30" s="304"/>
      <c r="G30" s="304"/>
      <c r="H30" s="304"/>
      <c r="I30" s="304"/>
      <c r="J30" s="304"/>
      <c r="K30" s="304"/>
    </row>
    <row r="31" customFormat="false" ht="120" hidden="false" customHeight="true" outlineLevel="0" collapsed="false">
      <c r="B31" s="1385" t="s">
        <v>5935</v>
      </c>
      <c r="C31" s="1385"/>
      <c r="D31" s="1385"/>
      <c r="E31" s="1385"/>
      <c r="F31" s="1385"/>
      <c r="G31" s="1385"/>
      <c r="H31" s="1385"/>
      <c r="I31" s="1385"/>
      <c r="J31" s="1385"/>
      <c r="K31" s="1385"/>
    </row>
    <row r="32" customFormat="false" ht="15" hidden="false" customHeight="true" outlineLevel="0" collapsed="false">
      <c r="B32" s="1385"/>
      <c r="C32" s="1385"/>
      <c r="D32" s="1385"/>
      <c r="E32" s="1385"/>
      <c r="F32" s="1385"/>
      <c r="G32" s="1385"/>
      <c r="H32" s="1385"/>
      <c r="I32" s="1385"/>
      <c r="J32" s="1385"/>
      <c r="K32" s="1385"/>
    </row>
    <row r="33" customFormat="false" ht="15" hidden="false" customHeight="true" outlineLevel="0" collapsed="false">
      <c r="B33" s="1385"/>
      <c r="C33" s="1385"/>
      <c r="D33" s="1385"/>
      <c r="E33" s="1385"/>
      <c r="F33" s="1385"/>
      <c r="G33" s="1385"/>
      <c r="H33" s="1385"/>
      <c r="I33" s="1385"/>
      <c r="J33" s="1385"/>
      <c r="K33" s="1385"/>
    </row>
  </sheetData>
  <mergeCells count="9">
    <mergeCell ref="B2:G2"/>
    <mergeCell ref="H2:K2"/>
    <mergeCell ref="B3:K3"/>
    <mergeCell ref="B6:K6"/>
    <mergeCell ref="B9:K9"/>
    <mergeCell ref="B12:K12"/>
    <mergeCell ref="B19:K19"/>
    <mergeCell ref="B30:K30"/>
    <mergeCell ref="B31:K3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K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8171</v>
      </c>
      <c r="C2" s="88"/>
      <c r="D2" s="88"/>
      <c r="E2" s="88"/>
      <c r="F2" s="88"/>
      <c r="G2" s="88"/>
      <c r="H2" s="89" t="s">
        <v>995</v>
      </c>
      <c r="I2" s="89"/>
      <c r="J2" s="89"/>
      <c r="K2" s="89"/>
    </row>
    <row r="3" customFormat="false" ht="33.75" hidden="false" customHeight="true" outlineLevel="0" collapsed="false">
      <c r="B3" s="90" t="s">
        <v>5937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96" t="s">
        <v>4996</v>
      </c>
      <c r="C6" s="96"/>
      <c r="D6" s="96"/>
      <c r="E6" s="96"/>
      <c r="F6" s="96"/>
      <c r="G6" s="96"/>
      <c r="H6" s="96"/>
      <c r="I6" s="96"/>
      <c r="J6" s="96"/>
      <c r="K6" s="96"/>
    </row>
    <row r="7" customFormat="false" ht="15" hidden="false" customHeight="true" outlineLevel="0" collapsed="false">
      <c r="B7" s="81" t="s">
        <v>903</v>
      </c>
      <c r="C7" s="385" t="n">
        <f aca="false">'Sponsorships · 8-Year'!C11</f>
        <v>229600</v>
      </c>
      <c r="D7" s="385" t="n">
        <f aca="false">'Sponsorships · 8-Year'!D11</f>
        <v>266049</v>
      </c>
      <c r="E7" s="385" t="n">
        <f aca="false">'Sponsorships · 8-Year'!E11</f>
        <v>304478.3</v>
      </c>
      <c r="F7" s="385" t="n">
        <f aca="false">'Sponsorships · 8-Year'!F11</f>
        <v>313612.649</v>
      </c>
      <c r="G7" s="385" t="n">
        <f aca="false">'Sponsorships · 8-Year'!G11</f>
        <v>323021.02847</v>
      </c>
      <c r="H7" s="385" t="n">
        <f aca="false">'Sponsorships · 8-Year'!H11</f>
        <v>349347.242290305</v>
      </c>
      <c r="I7" s="385" t="n">
        <f aca="false">'Sponsorships · 8-Year'!I11</f>
        <v>359827.659559014</v>
      </c>
      <c r="J7" s="385" t="n">
        <f aca="false">'Sponsorships · 8-Year'!J11</f>
        <v>370622.489345785</v>
      </c>
      <c r="K7" s="1386" t="n">
        <f aca="false">SUM(C7:J7)</f>
        <v>2516558.3686651</v>
      </c>
    </row>
    <row r="8" customFormat="false" ht="15" hidden="false" customHeight="true" outlineLevel="0" collapsed="false">
      <c r="B8" s="81" t="s">
        <v>4112</v>
      </c>
      <c r="C8" s="1294" t="n">
        <f aca="false">'Sponsorships · 8-Year'!C20</f>
        <v>128232</v>
      </c>
      <c r="D8" s="1294" t="n">
        <f aca="false">'Sponsorships · 8-Year'!D20</f>
        <v>159275.08</v>
      </c>
      <c r="E8" s="1294" t="n">
        <f aca="false">'Sponsorships · 8-Year'!E20</f>
        <v>192065.336</v>
      </c>
      <c r="F8" s="1294" t="n">
        <f aca="false">'Sponsorships · 8-Year'!F20</f>
        <v>197827.29608</v>
      </c>
      <c r="G8" s="1294" t="n">
        <f aca="false">'Sponsorships · 8-Year'!G20</f>
        <v>203762.1149624</v>
      </c>
      <c r="H8" s="1294" t="n">
        <f aca="false">'Sponsorships · 8-Year'!H20</f>
        <v>225179.714740181</v>
      </c>
      <c r="I8" s="1294" t="n">
        <f aca="false">'Sponsorships · 8-Year'!I20</f>
        <v>231935.106182386</v>
      </c>
      <c r="J8" s="1294" t="n">
        <f aca="false">'Sponsorships · 8-Year'!J20</f>
        <v>238893.159367858</v>
      </c>
      <c r="K8" s="1387" t="n">
        <f aca="false">SUM(C8:J8)</f>
        <v>1577169.80733282</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388" t="n">
        <v>0</v>
      </c>
      <c r="K11" s="6"/>
    </row>
    <row r="12" customFormat="false" ht="15" hidden="false" customHeight="true" outlineLevel="0" collapsed="false">
      <c r="B12" s="113" t="s">
        <v>3766</v>
      </c>
      <c r="C12" s="1389" t="n">
        <v>45</v>
      </c>
      <c r="K12" s="6"/>
    </row>
    <row r="13" customFormat="false" ht="15" hidden="false" customHeight="true" outlineLevel="0" collapsed="false">
      <c r="B13" s="113" t="s">
        <v>3768</v>
      </c>
      <c r="C13" s="1389" t="n">
        <v>15</v>
      </c>
      <c r="K13" s="6"/>
    </row>
    <row r="14" customFormat="false" ht="15" hidden="false" customHeight="true" outlineLevel="0" collapsed="false">
      <c r="B14" s="6"/>
      <c r="K14" s="6"/>
    </row>
    <row r="15" customFormat="false" ht="15" hidden="false" customHeight="true" outlineLevel="0" collapsed="false">
      <c r="B15" s="1164" t="s">
        <v>4114</v>
      </c>
      <c r="C15" s="387" t="n">
        <f aca="false">C7*$C$11</f>
        <v>0</v>
      </c>
      <c r="D15" s="387" t="n">
        <f aca="false">D7*$C$11</f>
        <v>0</v>
      </c>
      <c r="E15" s="387" t="n">
        <f aca="false">E7*$C$11</f>
        <v>0</v>
      </c>
      <c r="F15" s="387" t="n">
        <f aca="false">F7*$C$11</f>
        <v>0</v>
      </c>
      <c r="G15" s="387" t="n">
        <f aca="false">G7*$C$11</f>
        <v>0</v>
      </c>
      <c r="H15" s="387" t="n">
        <f aca="false">H7*$C$11</f>
        <v>0</v>
      </c>
      <c r="I15" s="387" t="n">
        <f aca="false">I7*$C$11</f>
        <v>0</v>
      </c>
      <c r="J15" s="387" t="n">
        <f aca="false">J7*$C$11</f>
        <v>0</v>
      </c>
      <c r="K15" s="6"/>
    </row>
    <row r="16" customFormat="false" ht="15" hidden="false" customHeight="true" outlineLevel="0" collapsed="false">
      <c r="B16" s="1164" t="s">
        <v>4115</v>
      </c>
      <c r="C16" s="387" t="n">
        <f aca="false">C7/365*$C$12</f>
        <v>28306.8493150685</v>
      </c>
      <c r="D16" s="387" t="n">
        <f aca="false">D7/365*$C$12</f>
        <v>32800.5616438356</v>
      </c>
      <c r="E16" s="387" t="n">
        <f aca="false">E7/365*$C$12</f>
        <v>37538.4205479452</v>
      </c>
      <c r="F16" s="387" t="n">
        <f aca="false">F7/365*$C$12</f>
        <v>38664.5731643836</v>
      </c>
      <c r="G16" s="387" t="n">
        <f aca="false">G7/365*$C$12</f>
        <v>39824.5103593151</v>
      </c>
      <c r="H16" s="387" t="n">
        <f aca="false">H7/365*$C$12</f>
        <v>43070.2079535992</v>
      </c>
      <c r="I16" s="387" t="n">
        <f aca="false">I7/365*$C$12</f>
        <v>44362.3141922072</v>
      </c>
      <c r="J16" s="387" t="n">
        <f aca="false">J7/365*$C$12</f>
        <v>45693.1836179734</v>
      </c>
      <c r="K16" s="6"/>
    </row>
    <row r="17" customFormat="false" ht="15" hidden="false" customHeight="true" outlineLevel="0" collapsed="false">
      <c r="B17" s="1164" t="s">
        <v>4116</v>
      </c>
      <c r="C17" s="387" t="n">
        <f aca="false">C7*('Sponsorships · Costs'!C16/'Sponsorships · Revenue'!E27)/365*$C$13</f>
        <v>3483.61643835616</v>
      </c>
      <c r="D17" s="387" t="n">
        <f aca="false">D7*('Sponsorships · Costs'!C16/'Sponsorships · Revenue'!E27)/365*$C$13</f>
        <v>4036.64054794521</v>
      </c>
      <c r="E17" s="387" t="n">
        <f aca="false">E7*('Sponsorships · Costs'!C16/'Sponsorships · Revenue'!E27)/365*$C$13</f>
        <v>4619.71084931507</v>
      </c>
      <c r="F17" s="387" t="n">
        <f aca="false">F7*('Sponsorships · Costs'!C16/'Sponsorships · Revenue'!E27)/365*$C$13</f>
        <v>4758.30217479452</v>
      </c>
      <c r="G17" s="387" t="n">
        <f aca="false">G7*('Sponsorships · Costs'!C16/'Sponsorships · Revenue'!E27)/365*$C$13</f>
        <v>4901.05124003836</v>
      </c>
      <c r="H17" s="387" t="n">
        <f aca="false">H7*('Sponsorships · Costs'!C16/'Sponsorships · Revenue'!E27)/365*$C$13</f>
        <v>5300.48691610148</v>
      </c>
      <c r="I17" s="387" t="n">
        <f aca="false">I7*('Sponsorships · Costs'!C16/'Sponsorships · Revenue'!E27)/365*$C$13</f>
        <v>5459.50152358453</v>
      </c>
      <c r="J17" s="387" t="n">
        <f aca="false">J7*('Sponsorships · Costs'!C16/'Sponsorships · Revenue'!E27)/365*$C$13</f>
        <v>5623.28656929207</v>
      </c>
      <c r="K17" s="6"/>
    </row>
    <row r="18" customFormat="false" ht="15" hidden="false" customHeight="true" outlineLevel="0" collapsed="false">
      <c r="B18" s="113" t="s">
        <v>4117</v>
      </c>
      <c r="C18" s="385" t="n">
        <f aca="false">C15+C16-C17</f>
        <v>24823.2328767123</v>
      </c>
      <c r="D18" s="385" t="n">
        <f aca="false">D15+D16-D17</f>
        <v>28763.9210958904</v>
      </c>
      <c r="E18" s="385" t="n">
        <f aca="false">E15+E16-E17</f>
        <v>32918.7096986301</v>
      </c>
      <c r="F18" s="385" t="n">
        <f aca="false">F15+F16-F17</f>
        <v>33906.270989589</v>
      </c>
      <c r="G18" s="385" t="n">
        <f aca="false">G15+G16-G17</f>
        <v>34923.4591192767</v>
      </c>
      <c r="H18" s="385" t="n">
        <f aca="false">H15+H16-H17</f>
        <v>37769.7210374978</v>
      </c>
      <c r="I18" s="385" t="n">
        <f aca="false">I15+I16-I17</f>
        <v>38902.8126686227</v>
      </c>
      <c r="J18" s="385" t="n">
        <f aca="false">J15+J16-J17</f>
        <v>40069.8970486814</v>
      </c>
      <c r="K18" s="6"/>
    </row>
    <row r="19" customFormat="false" ht="15" hidden="false" customHeight="true" outlineLevel="0" collapsed="false">
      <c r="B19" s="1267" t="s">
        <v>4118</v>
      </c>
      <c r="C19" s="1292" t="n">
        <f aca="false">C18</f>
        <v>24823.2328767123</v>
      </c>
      <c r="D19" s="1292" t="n">
        <f aca="false">D18-C18</f>
        <v>3940.68821917808</v>
      </c>
      <c r="E19" s="1292" t="n">
        <f aca="false">E18-D18</f>
        <v>4154.78860273973</v>
      </c>
      <c r="F19" s="1292" t="n">
        <f aca="false">F18-E18</f>
        <v>987.561290958896</v>
      </c>
      <c r="G19" s="1292" t="n">
        <f aca="false">G18-F18</f>
        <v>1017.18812968768</v>
      </c>
      <c r="H19" s="1292" t="n">
        <f aca="false">H18-G18</f>
        <v>2846.26191822105</v>
      </c>
      <c r="I19" s="1292" t="n">
        <f aca="false">I18-H18</f>
        <v>1133.09163112495</v>
      </c>
      <c r="J19" s="1292" t="n">
        <f aca="false">J18-I18</f>
        <v>1167.08438005867</v>
      </c>
      <c r="K19" s="6"/>
    </row>
    <row r="20" customFormat="false" ht="15" hidden="false" customHeight="true" outlineLevel="0" collapsed="false">
      <c r="B20" s="6"/>
      <c r="K20" s="6"/>
    </row>
    <row r="21" customFormat="false" ht="21.75" hidden="false" customHeight="true" outlineLevel="0" collapsed="false">
      <c r="B21" s="575" t="s">
        <v>5938</v>
      </c>
      <c r="C21" s="575"/>
      <c r="D21" s="575"/>
      <c r="E21" s="575"/>
      <c r="F21" s="575"/>
      <c r="G21" s="575"/>
      <c r="H21" s="575"/>
      <c r="I21" s="575"/>
      <c r="J21" s="575"/>
      <c r="K21" s="575"/>
    </row>
    <row r="22" customFormat="false" ht="15" hidden="false" customHeight="true" outlineLevel="0" collapsed="false">
      <c r="B22" s="126" t="s">
        <v>3771</v>
      </c>
      <c r="C22" s="1388" t="n">
        <v>0.005</v>
      </c>
      <c r="K22" s="6"/>
    </row>
    <row r="23" customFormat="false" ht="15" hidden="false" customHeight="true" outlineLevel="0" collapsed="false">
      <c r="B23" s="113" t="s">
        <v>4121</v>
      </c>
      <c r="C23" s="360" t="n">
        <f aca="false">C7*$C$22</f>
        <v>1148</v>
      </c>
      <c r="D23" s="360" t="n">
        <f aca="false">D7*$C$22</f>
        <v>1330.245</v>
      </c>
      <c r="E23" s="360" t="n">
        <f aca="false">E7*$C$22</f>
        <v>1522.3915</v>
      </c>
      <c r="F23" s="360" t="n">
        <f aca="false">F7*$C$22</f>
        <v>1568.063245</v>
      </c>
      <c r="G23" s="360" t="n">
        <f aca="false">G7*$C$22</f>
        <v>1615.10514235</v>
      </c>
      <c r="H23" s="360" t="n">
        <f aca="false">H7*$C$22</f>
        <v>1746.73621145153</v>
      </c>
      <c r="I23" s="360" t="n">
        <f aca="false">I7*$C$22</f>
        <v>1799.13829779507</v>
      </c>
      <c r="J23" s="360" t="n">
        <f aca="false">J7*$C$22</f>
        <v>1853.11244672892</v>
      </c>
      <c r="K23" s="6"/>
    </row>
    <row r="24" customFormat="false" ht="15" hidden="false" customHeight="true" outlineLevel="0" collapsed="false">
      <c r="B24" s="6"/>
      <c r="K24" s="6"/>
    </row>
    <row r="25" customFormat="false" ht="33.75" hidden="false" customHeight="true" outlineLevel="0" collapsed="false">
      <c r="B25" s="104" t="s">
        <v>5939</v>
      </c>
      <c r="K25" s="6"/>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15" hidden="false" customHeight="true" outlineLevel="0" collapsed="false">
      <c r="B28" s="81" t="s">
        <v>4124</v>
      </c>
      <c r="C28" s="577" t="n">
        <f aca="false">C8-C19-C23</f>
        <v>102260.767123288</v>
      </c>
      <c r="D28" s="577" t="n">
        <f aca="false">D8-D19-D23</f>
        <v>154004.146780822</v>
      </c>
      <c r="E28" s="577" t="n">
        <f aca="false">E8-E19-E23</f>
        <v>186388.15589726</v>
      </c>
      <c r="F28" s="577" t="n">
        <f aca="false">F8-F19-F23</f>
        <v>195271.671544041</v>
      </c>
      <c r="G28" s="577" t="n">
        <f aca="false">G8-G19-G23</f>
        <v>201129.821690362</v>
      </c>
      <c r="H28" s="577" t="n">
        <f aca="false">H8-H19-H23</f>
        <v>220586.716610508</v>
      </c>
      <c r="I28" s="577" t="n">
        <f aca="false">I8-I19-I23</f>
        <v>229002.876253466</v>
      </c>
      <c r="J28" s="577" t="n">
        <f aca="false">J8-J19-J23</f>
        <v>235872.96254107</v>
      </c>
      <c r="K28" s="1383" t="n">
        <f aca="false">SUM(C28:J28)</f>
        <v>1524517.11844082</v>
      </c>
    </row>
    <row r="29" customFormat="false" ht="15" hidden="false" customHeight="true" outlineLevel="0" collapsed="false">
      <c r="B29" s="1382" t="s">
        <v>5940</v>
      </c>
      <c r="C29" s="593" t="n">
        <f aca="false">C28/C8</f>
        <v>0.79746683451313</v>
      </c>
      <c r="D29" s="593" t="n">
        <f aca="false">D28/D8</f>
        <v>0.966906730047299</v>
      </c>
      <c r="E29" s="593" t="n">
        <f aca="false">E28/E8</f>
        <v>0.97044141217268</v>
      </c>
      <c r="F29" s="593" t="n">
        <f aca="false">F28/F8</f>
        <v>0.987081537347983</v>
      </c>
      <c r="G29" s="593" t="n">
        <f aca="false">G28/G8</f>
        <v>0.987081537347983</v>
      </c>
      <c r="H29" s="593" t="n">
        <f aca="false">H28/H8</f>
        <v>0.979602966746041</v>
      </c>
      <c r="I29" s="593" t="n">
        <f aca="false">I28/I8</f>
        <v>0.987357541610737</v>
      </c>
      <c r="J29" s="593" t="n">
        <f aca="false">J28/J8</f>
        <v>0.987357541610738</v>
      </c>
      <c r="K29" s="6"/>
    </row>
    <row r="30" customFormat="false" ht="15" hidden="false" customHeight="true" outlineLevel="0" collapsed="false">
      <c r="B30" s="6"/>
      <c r="K30" s="6"/>
    </row>
    <row r="31" customFormat="false" ht="15" hidden="false" customHeight="true" outlineLevel="0" collapsed="false">
      <c r="B31" s="1164" t="s">
        <v>4126</v>
      </c>
      <c r="C31" s="387" t="n">
        <f aca="false">C28</f>
        <v>102260.767123288</v>
      </c>
      <c r="D31" s="387" t="n">
        <f aca="false">C31+D28</f>
        <v>256264.91390411</v>
      </c>
      <c r="E31" s="387" t="n">
        <f aca="false">D31+E28</f>
        <v>442653.06980137</v>
      </c>
      <c r="F31" s="387" t="n">
        <f aca="false">E31+F28</f>
        <v>637924.741345411</v>
      </c>
      <c r="G31" s="387" t="n">
        <f aca="false">F31+G28</f>
        <v>839054.563035773</v>
      </c>
      <c r="H31" s="387" t="n">
        <f aca="false">G31+H28</f>
        <v>1059641.27964628</v>
      </c>
      <c r="I31" s="387" t="n">
        <f aca="false">H31+I28</f>
        <v>1288644.15589975</v>
      </c>
      <c r="J31" s="387" t="n">
        <f aca="false">I31+J28</f>
        <v>1524517.11844082</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21.75" hidden="false" customHeight="true" outlineLevel="0" collapsed="false">
      <c r="B35" s="97" t="s">
        <v>206</v>
      </c>
      <c r="C35" s="98" t="s">
        <v>393</v>
      </c>
      <c r="D35" s="98" t="s">
        <v>225</v>
      </c>
      <c r="K35" s="6"/>
    </row>
    <row r="36" customFormat="false" ht="15" hidden="false" customHeight="true" outlineLevel="0" collapsed="false">
      <c r="B36" s="113" t="s">
        <v>4128</v>
      </c>
      <c r="C36" s="544" t="n">
        <f aca="false">C28</f>
        <v>102260.767123288</v>
      </c>
      <c r="D36" s="634" t="s">
        <v>4129</v>
      </c>
      <c r="K36" s="6"/>
    </row>
    <row r="37" customFormat="false" ht="15" hidden="false" customHeight="true" outlineLevel="0" collapsed="false">
      <c r="B37" s="113" t="s">
        <v>4130</v>
      </c>
      <c r="C37" s="544" t="n">
        <f aca="false">F28</f>
        <v>195271.671544041</v>
      </c>
      <c r="D37" s="634" t="s">
        <v>4131</v>
      </c>
      <c r="K37" s="6"/>
    </row>
    <row r="38" customFormat="false" ht="15" hidden="false" customHeight="true" outlineLevel="0" collapsed="false">
      <c r="B38" s="113" t="s">
        <v>4132</v>
      </c>
      <c r="C38" s="544" t="n">
        <f aca="false">K28</f>
        <v>1524517.11844082</v>
      </c>
      <c r="D38" s="634" t="s">
        <v>4133</v>
      </c>
      <c r="K38" s="6"/>
    </row>
    <row r="39" customFormat="false" ht="15" hidden="false" customHeight="true" outlineLevel="0" collapsed="false">
      <c r="B39" s="113" t="s">
        <v>4134</v>
      </c>
      <c r="C39" s="1288" t="n">
        <f aca="false">K28/K8</f>
        <v>0.966615713382791</v>
      </c>
      <c r="D39" s="634" t="s">
        <v>5941</v>
      </c>
      <c r="K39" s="6"/>
    </row>
  </sheetData>
  <mergeCells count="8">
    <mergeCell ref="B2:G2"/>
    <mergeCell ref="H2:K2"/>
    <mergeCell ref="B3:K3"/>
    <mergeCell ref="B6:K6"/>
    <mergeCell ref="B10:K10"/>
    <mergeCell ref="B21:K21"/>
    <mergeCell ref="B27:K27"/>
    <mergeCell ref="B34:K3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7.5"/>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8172</v>
      </c>
      <c r="C2" s="878"/>
      <c r="D2" s="878"/>
      <c r="E2" s="878"/>
      <c r="F2" s="878"/>
      <c r="G2" s="89" t="s">
        <v>3432</v>
      </c>
      <c r="H2" s="89"/>
      <c r="I2" s="89"/>
      <c r="J2" s="89"/>
    </row>
    <row r="3" customFormat="false" ht="33.75" hidden="false" customHeight="true" outlineLevel="0" collapsed="false">
      <c r="B3" s="90" t="s">
        <v>8173</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8174</v>
      </c>
      <c r="C5" s="575"/>
      <c r="D5" s="575"/>
      <c r="E5" s="575"/>
      <c r="F5" s="575"/>
      <c r="G5" s="575"/>
      <c r="H5" s="575"/>
    </row>
    <row r="6" customFormat="false" ht="18" hidden="false" customHeight="true" outlineLevel="0" collapsed="false">
      <c r="B6" s="126" t="s">
        <v>8175</v>
      </c>
      <c r="C6" s="1301" t="n">
        <f aca="false">'Sponsorships · Drivers'!C28+'Sponsorships · Drivers'!C31+'Sponsorships · Drivers'!C34+'Sponsorships · Drivers'!C37+'Sponsorships · Drivers'!C40</f>
        <v>19</v>
      </c>
      <c r="D6" s="565" t="s">
        <v>8176</v>
      </c>
      <c r="E6" s="6"/>
    </row>
    <row r="7" customFormat="false" ht="18" hidden="false" customHeight="true" outlineLevel="0" collapsed="false">
      <c r="B7" s="1076" t="s">
        <v>8177</v>
      </c>
      <c r="C7" s="1390" t="n">
        <f aca="false">'Sponsorships · Revenue'!E27/IF(C6=0,1,C6)</f>
        <v>15105.2631578947</v>
      </c>
      <c r="D7" s="565" t="s">
        <v>8178</v>
      </c>
      <c r="E7" s="6"/>
    </row>
    <row r="8" customFormat="false" ht="18" hidden="false" customHeight="true" outlineLevel="0" collapsed="false">
      <c r="B8" s="113" t="s">
        <v>8179</v>
      </c>
      <c r="C8" s="406" t="n">
        <f aca="false">'Sponsorships · Costs'!C16/IF(C6=0,1,C6)</f>
        <v>5576.84210526316</v>
      </c>
      <c r="D8" s="565" t="s">
        <v>8180</v>
      </c>
      <c r="E8" s="6"/>
    </row>
    <row r="9" customFormat="false" ht="18" hidden="false" customHeight="true" outlineLevel="0" collapsed="false">
      <c r="B9" s="81" t="s">
        <v>8181</v>
      </c>
      <c r="C9" s="1390" t="n">
        <f aca="false">C7-C8</f>
        <v>9528.42105263158</v>
      </c>
      <c r="D9" s="565" t="s">
        <v>8182</v>
      </c>
      <c r="E9" s="6"/>
    </row>
    <row r="10" customFormat="false" ht="15" hidden="false" customHeight="true" outlineLevel="0" collapsed="false">
      <c r="B10" s="6"/>
      <c r="E10" s="6"/>
    </row>
    <row r="11" customFormat="false" ht="21.75" hidden="false" customHeight="true" outlineLevel="0" collapsed="false">
      <c r="B11" s="575" t="s">
        <v>7396</v>
      </c>
      <c r="C11" s="575"/>
      <c r="D11" s="575"/>
      <c r="E11" s="575"/>
      <c r="F11" s="575"/>
      <c r="G11" s="575"/>
      <c r="H11" s="575"/>
    </row>
    <row r="12" customFormat="false" ht="18" hidden="false" customHeight="true" outlineLevel="0" collapsed="false">
      <c r="B12" s="113" t="s">
        <v>8183</v>
      </c>
      <c r="C12" s="406" t="n">
        <f aca="false">IF('Sponsorships · Drivers'!C28=0,0,'Sponsorships · Revenue'!E8/'Sponsorships · Drivers'!C28)</f>
        <v>49500</v>
      </c>
      <c r="D12" s="565" t="s">
        <v>8184</v>
      </c>
      <c r="E12" s="6"/>
    </row>
    <row r="13" customFormat="false" ht="18" hidden="false" customHeight="true" outlineLevel="0" collapsed="false">
      <c r="B13" s="113" t="s">
        <v>8185</v>
      </c>
      <c r="C13" s="406" t="n">
        <f aca="false">IF('Sponsorships · Drivers'!C31=0,0,'Sponsorships · Revenue'!E13/'Sponsorships · Drivers'!C31)</f>
        <v>26500</v>
      </c>
      <c r="D13" s="565" t="s">
        <v>8184</v>
      </c>
      <c r="E13" s="6"/>
    </row>
    <row r="14" customFormat="false" ht="18" hidden="false" customHeight="true" outlineLevel="0" collapsed="false">
      <c r="B14" s="113" t="s">
        <v>8186</v>
      </c>
      <c r="C14" s="406" t="n">
        <f aca="false">IF('Sponsorships · Drivers'!C34=0,0,'Sponsorships · Revenue'!E18/'Sponsorships · Drivers'!C34)</f>
        <v>11600</v>
      </c>
      <c r="D14" s="565" t="s">
        <v>8184</v>
      </c>
      <c r="E14" s="6"/>
    </row>
    <row r="15" customFormat="false" ht="18" hidden="false" customHeight="true" outlineLevel="0" collapsed="false">
      <c r="B15" s="113" t="s">
        <v>8187</v>
      </c>
      <c r="C15" s="406" t="n">
        <f aca="false">IF('Sponsorships · Drivers'!C37=0,0,'Sponsorships · Revenue'!E22/'Sponsorships · Drivers'!C37)</f>
        <v>6000</v>
      </c>
      <c r="D15" s="565" t="s">
        <v>8184</v>
      </c>
      <c r="E15" s="6"/>
    </row>
    <row r="16" customFormat="false" ht="15" hidden="false" customHeight="true" outlineLevel="0" collapsed="false">
      <c r="B16" s="6"/>
      <c r="E16" s="6"/>
    </row>
    <row r="17" customFormat="false" ht="21.75" hidden="false" customHeight="true" outlineLevel="0" collapsed="false">
      <c r="B17" s="575" t="s">
        <v>5037</v>
      </c>
      <c r="C17" s="575"/>
      <c r="D17" s="575"/>
      <c r="E17" s="575"/>
      <c r="F17" s="575"/>
      <c r="G17" s="575"/>
      <c r="H17" s="575"/>
    </row>
    <row r="18" customFormat="false" ht="18" hidden="false" customHeight="true" outlineLevel="0" collapsed="false">
      <c r="B18" s="81" t="s">
        <v>5038</v>
      </c>
      <c r="C18" s="1390" t="n">
        <f aca="false">'Sponsorships · Revenue'!E27</f>
        <v>287000</v>
      </c>
      <c r="D18" s="565" t="s">
        <v>7904</v>
      </c>
      <c r="E18" s="6"/>
    </row>
    <row r="19" customFormat="false" ht="18" hidden="false" customHeight="true" outlineLevel="0" collapsed="false">
      <c r="B19" s="113" t="s">
        <v>4973</v>
      </c>
      <c r="C19" s="406" t="n">
        <f aca="false">'Sponsorships · Costs'!C16</f>
        <v>105960</v>
      </c>
      <c r="D19" s="565" t="s">
        <v>8188</v>
      </c>
      <c r="E19" s="6"/>
    </row>
    <row r="20" customFormat="false" ht="18" hidden="false" customHeight="true" outlineLevel="0" collapsed="false">
      <c r="B20" s="81" t="s">
        <v>7380</v>
      </c>
      <c r="C20" s="1390" t="n">
        <f aca="false">'Sponsorships · Costs'!C29</f>
        <v>181040</v>
      </c>
      <c r="D20" s="565" t="s">
        <v>7175</v>
      </c>
      <c r="E20" s="6"/>
    </row>
    <row r="21" customFormat="false" ht="18" hidden="false" customHeight="true" outlineLevel="0" collapsed="false">
      <c r="B21" s="81" t="s">
        <v>4991</v>
      </c>
      <c r="C21" s="1393" t="n">
        <f aca="false">C20/C18</f>
        <v>0.630801393728223</v>
      </c>
      <c r="D21" s="565" t="s">
        <v>8189</v>
      </c>
      <c r="E21" s="6"/>
    </row>
  </sheetData>
  <mergeCells count="6">
    <mergeCell ref="B2:F2"/>
    <mergeCell ref="G2:J2"/>
    <mergeCell ref="B3:J3"/>
    <mergeCell ref="B5:H5"/>
    <mergeCell ref="B11:H11"/>
    <mergeCell ref="B17:H1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8190</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8191</v>
      </c>
      <c r="C5" s="575"/>
      <c r="D5" s="575"/>
      <c r="E5" s="575"/>
      <c r="F5" s="575"/>
      <c r="G5" s="575"/>
      <c r="H5" s="575"/>
    </row>
    <row r="6" customFormat="false" ht="15" hidden="false" customHeight="true" outlineLevel="0" collapsed="false">
      <c r="B6" s="6"/>
      <c r="E6" s="6"/>
    </row>
    <row r="7" customFormat="false" ht="18" hidden="false" customHeight="true" outlineLevel="0" collapsed="false">
      <c r="B7" s="113" t="s">
        <v>4971</v>
      </c>
      <c r="C7" s="1299" t="n">
        <f aca="false">'Sponsorships · Costs'!C19</f>
        <v>83000</v>
      </c>
      <c r="D7" s="565" t="s">
        <v>8192</v>
      </c>
      <c r="E7" s="6"/>
    </row>
    <row r="8" customFormat="false" ht="18" hidden="false" customHeight="true" outlineLevel="0" collapsed="false">
      <c r="B8" s="113" t="s">
        <v>5052</v>
      </c>
      <c r="C8" s="1300" t="n">
        <f aca="false">'Sponsorships · Costs'!C22</f>
        <v>0.08</v>
      </c>
      <c r="D8" s="565" t="s">
        <v>7179</v>
      </c>
      <c r="E8" s="6"/>
    </row>
    <row r="9" customFormat="false" ht="18" hidden="false" customHeight="true" outlineLevel="0" collapsed="false">
      <c r="B9" s="113" t="s">
        <v>5054</v>
      </c>
      <c r="C9" s="1300" t="n">
        <f aca="false">1-C8</f>
        <v>0.92</v>
      </c>
      <c r="D9" s="565" t="s">
        <v>8193</v>
      </c>
      <c r="E9" s="6"/>
    </row>
    <row r="10" customFormat="false" ht="15" hidden="false" customHeight="true" outlineLevel="0" collapsed="false">
      <c r="B10" s="6"/>
      <c r="E10" s="6"/>
    </row>
    <row r="11" customFormat="false" ht="18" hidden="false" customHeight="true" outlineLevel="0" collapsed="false">
      <c r="B11" s="81" t="s">
        <v>5056</v>
      </c>
      <c r="C11" s="406" t="n">
        <f aca="false">C7/C9</f>
        <v>90217.3913043478</v>
      </c>
      <c r="D11" s="565" t="s">
        <v>5057</v>
      </c>
      <c r="E11" s="6"/>
    </row>
    <row r="12" customFormat="false" ht="18" hidden="false" customHeight="true" outlineLevel="0" collapsed="false">
      <c r="B12" s="113" t="s">
        <v>5058</v>
      </c>
      <c r="C12" s="1299" t="n">
        <f aca="false">'Sponsorships · Revenue'!E27</f>
        <v>287000</v>
      </c>
      <c r="D12" s="565" t="s">
        <v>6657</v>
      </c>
      <c r="E12" s="6"/>
    </row>
    <row r="13" customFormat="false" ht="18" hidden="false" customHeight="true" outlineLevel="0" collapsed="false">
      <c r="B13" s="113" t="s">
        <v>5060</v>
      </c>
      <c r="C13" s="1300" t="n">
        <f aca="false">C12/C11-1</f>
        <v>2.18120481927711</v>
      </c>
      <c r="D13" s="565" t="s">
        <v>6675</v>
      </c>
      <c r="E13" s="6"/>
    </row>
    <row r="14" customFormat="false" ht="15" hidden="false" customHeight="true" outlineLevel="0" collapsed="false">
      <c r="B14" s="6"/>
      <c r="E14" s="6"/>
    </row>
    <row r="15" customFormat="false" ht="21.75" hidden="false" customHeight="true" outlineLevel="0" collapsed="false">
      <c r="B15" s="575" t="s">
        <v>8194</v>
      </c>
      <c r="C15" s="575"/>
      <c r="D15" s="575"/>
      <c r="E15" s="575"/>
      <c r="F15" s="575"/>
      <c r="G15" s="575"/>
      <c r="H15" s="575"/>
    </row>
    <row r="16" customFormat="false" ht="18" hidden="false" customHeight="true" outlineLevel="0" collapsed="false">
      <c r="B16" s="113" t="s">
        <v>8195</v>
      </c>
      <c r="C16" s="1299" t="n">
        <f aca="false">'Sponsorships · Unit Economics'!C7</f>
        <v>15105.2631578947</v>
      </c>
      <c r="D16" s="565" t="s">
        <v>8196</v>
      </c>
      <c r="E16" s="6"/>
    </row>
    <row r="17" customFormat="false" ht="18" hidden="false" customHeight="true" outlineLevel="0" collapsed="false">
      <c r="B17" s="81" t="s">
        <v>8197</v>
      </c>
      <c r="C17" s="1449" t="n">
        <f aca="false">C11/C16</f>
        <v>5.97257991213453</v>
      </c>
      <c r="D17" s="565" t="s">
        <v>8198</v>
      </c>
      <c r="E17" s="6"/>
    </row>
    <row r="18" customFormat="false" ht="18" hidden="false" customHeight="true" outlineLevel="0" collapsed="false">
      <c r="B18" s="113" t="s">
        <v>8199</v>
      </c>
      <c r="C18" s="1302" t="n">
        <f aca="false">'Sponsorships · Unit Economics'!C6</f>
        <v>19</v>
      </c>
      <c r="D18" s="565" t="s">
        <v>6657</v>
      </c>
      <c r="E18" s="6"/>
    </row>
    <row r="19" customFormat="false" ht="18" hidden="false" customHeight="true" outlineLevel="0" collapsed="false">
      <c r="B19" s="1076" t="s">
        <v>8200</v>
      </c>
      <c r="C19" s="1449" t="n">
        <f aca="false">C18-C17</f>
        <v>13.0274200878655</v>
      </c>
      <c r="D19" s="565" t="s">
        <v>7189</v>
      </c>
      <c r="E19" s="6"/>
    </row>
    <row r="20" customFormat="false" ht="15" hidden="false" customHeight="true" outlineLevel="0" collapsed="false">
      <c r="B20" s="6"/>
      <c r="E20" s="6"/>
    </row>
    <row r="21" customFormat="false" ht="48.75" hidden="false" customHeight="true" outlineLevel="0" collapsed="false">
      <c r="B21" s="1456" t="s">
        <v>8201</v>
      </c>
      <c r="C21" s="1456"/>
      <c r="D21" s="1456"/>
      <c r="E21" s="6"/>
    </row>
  </sheetData>
  <mergeCells count="6">
    <mergeCell ref="B2:F2"/>
    <mergeCell ref="G2:J2"/>
    <mergeCell ref="B3:J3"/>
    <mergeCell ref="B5:H5"/>
    <mergeCell ref="B15:H15"/>
    <mergeCell ref="B21:D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19"/>
    <col collapsed="false" customWidth="true" hidden="false" outlineLevel="0" max="11" min="8" style="0" width="12"/>
  </cols>
  <sheetData>
    <row r="1" customFormat="false" ht="3.75" hidden="false" customHeight="true" outlineLevel="0" collapsed="false">
      <c r="B1" s="1"/>
      <c r="C1" s="2"/>
      <c r="D1" s="2"/>
      <c r="E1" s="2"/>
      <c r="F1" s="1"/>
      <c r="G1" s="2"/>
    </row>
    <row r="2" customFormat="false" ht="27.75" hidden="false" customHeight="true" outlineLevel="0" collapsed="false">
      <c r="B2" s="88" t="s">
        <v>8202</v>
      </c>
      <c r="C2" s="88"/>
      <c r="D2" s="88"/>
      <c r="E2" s="88"/>
      <c r="F2" s="1023" t="s">
        <v>995</v>
      </c>
      <c r="G2" s="1023"/>
    </row>
    <row r="3" customFormat="false" ht="33.75" hidden="false" customHeight="true" outlineLevel="0" collapsed="false">
      <c r="B3" s="90" t="s">
        <v>5994</v>
      </c>
      <c r="C3" s="90"/>
      <c r="D3" s="90"/>
      <c r="E3" s="90"/>
      <c r="F3" s="90"/>
      <c r="G3" s="90"/>
    </row>
    <row r="4" customFormat="false" ht="15" hidden="false" customHeight="true" outlineLevel="0" collapsed="false">
      <c r="B4" s="6"/>
      <c r="F4" s="6"/>
    </row>
    <row r="5" customFormat="false" ht="21.75" hidden="false" customHeight="true" outlineLevel="0" collapsed="false">
      <c r="B5" s="96" t="s">
        <v>5995</v>
      </c>
      <c r="C5" s="96"/>
      <c r="D5" s="96"/>
      <c r="E5" s="96"/>
      <c r="F5" s="96"/>
      <c r="G5" s="96"/>
    </row>
    <row r="6" customFormat="false" ht="21.75" hidden="false" customHeight="true" outlineLevel="0" collapsed="false">
      <c r="B6" s="97" t="s">
        <v>3445</v>
      </c>
      <c r="C6" s="98" t="s">
        <v>5996</v>
      </c>
      <c r="D6" s="98" t="s">
        <v>5073</v>
      </c>
      <c r="E6" s="98" t="s">
        <v>4241</v>
      </c>
      <c r="F6" s="99" t="s">
        <v>4242</v>
      </c>
      <c r="G6" s="98" t="s">
        <v>778</v>
      </c>
    </row>
    <row r="7" customFormat="false" ht="15" hidden="false" customHeight="true" outlineLevel="0" collapsed="false">
      <c r="B7" s="113" t="s">
        <v>8203</v>
      </c>
      <c r="C7" s="567" t="n">
        <f aca="false">1</f>
        <v>1</v>
      </c>
      <c r="D7" s="480" t="n">
        <f aca="false">1</f>
        <v>1</v>
      </c>
      <c r="E7" s="740" t="n">
        <f aca="false">IFERROR(D7/C7,0)</f>
        <v>1</v>
      </c>
      <c r="F7" s="1395" t="n">
        <f aca="false">IFERROR(1-E7,0)</f>
        <v>0</v>
      </c>
      <c r="G7" s="634" t="s">
        <v>8204</v>
      </c>
    </row>
    <row r="8" customFormat="false" ht="15" hidden="false" customHeight="true" outlineLevel="0" collapsed="false">
      <c r="B8" s="113" t="s">
        <v>8205</v>
      </c>
      <c r="C8" s="567" t="n">
        <f aca="false">3</f>
        <v>3</v>
      </c>
      <c r="D8" s="480" t="n">
        <f aca="false">3</f>
        <v>3</v>
      </c>
      <c r="E8" s="740" t="n">
        <f aca="false">IFERROR(D8/C8,0)</f>
        <v>1</v>
      </c>
      <c r="F8" s="1395" t="n">
        <f aca="false">IFERROR(1-E8,0)</f>
        <v>0</v>
      </c>
      <c r="G8" s="634" t="s">
        <v>8206</v>
      </c>
    </row>
    <row r="9" customFormat="false" ht="15" hidden="false" customHeight="true" outlineLevel="0" collapsed="false">
      <c r="B9" s="113" t="s">
        <v>8207</v>
      </c>
      <c r="C9" s="567" t="n">
        <f aca="false">12</f>
        <v>12</v>
      </c>
      <c r="D9" s="480" t="n">
        <f aca="false">12</f>
        <v>12</v>
      </c>
      <c r="E9" s="740" t="n">
        <f aca="false">IFERROR(D9/C9,0)</f>
        <v>1</v>
      </c>
      <c r="F9" s="1395" t="n">
        <f aca="false">IFERROR(1-E9,0)</f>
        <v>0</v>
      </c>
      <c r="G9" s="634" t="s">
        <v>8208</v>
      </c>
    </row>
    <row r="10" customFormat="false" ht="15" hidden="false" customHeight="true" outlineLevel="0" collapsed="false">
      <c r="B10" s="113" t="s">
        <v>8209</v>
      </c>
      <c r="C10" s="567" t="n">
        <f aca="false">6</f>
        <v>6</v>
      </c>
      <c r="D10" s="480" t="n">
        <f aca="false">6</f>
        <v>6</v>
      </c>
      <c r="E10" s="740" t="n">
        <f aca="false">IFERROR(D10/C10,0)</f>
        <v>1</v>
      </c>
      <c r="F10" s="1395" t="n">
        <f aca="false">IFERROR(1-E10,0)</f>
        <v>0</v>
      </c>
      <c r="G10" s="634" t="s">
        <v>8210</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1.75" hidden="false" customHeight="true" outlineLevel="0" collapsed="false">
      <c r="B13" s="97" t="s">
        <v>738</v>
      </c>
      <c r="C13" s="98" t="s">
        <v>4247</v>
      </c>
      <c r="D13" s="98" t="s">
        <v>3446</v>
      </c>
      <c r="E13" s="98" t="s">
        <v>4249</v>
      </c>
      <c r="F13" s="99" t="s">
        <v>778</v>
      </c>
    </row>
    <row r="14" customFormat="false" ht="15" hidden="false" customHeight="true" outlineLevel="0" collapsed="false">
      <c r="B14" s="113" t="s">
        <v>4250</v>
      </c>
      <c r="C14" s="1396" t="n">
        <v>1</v>
      </c>
      <c r="D14" s="606" t="n">
        <f aca="false">'Sponsorships · Revenue'!E27</f>
        <v>287000</v>
      </c>
      <c r="E14" s="706" t="s">
        <v>672</v>
      </c>
      <c r="F14" s="592" t="s">
        <v>4251</v>
      </c>
    </row>
    <row r="15" customFormat="false" ht="15" hidden="false" customHeight="true" outlineLevel="0" collapsed="false">
      <c r="B15" s="113" t="s">
        <v>6005</v>
      </c>
      <c r="C15" s="1396" t="n">
        <v>1.25</v>
      </c>
      <c r="D15" s="648" t="n">
        <f aca="false">'Sponsorships · Revenue'!E27*1.25</f>
        <v>358750</v>
      </c>
      <c r="E15" s="1397" t="n">
        <f aca="false">D15/D14-1</f>
        <v>0.25</v>
      </c>
      <c r="F15" s="592" t="s">
        <v>6006</v>
      </c>
    </row>
    <row r="16" customFormat="false" ht="15" hidden="false" customHeight="true" outlineLevel="0" collapsed="false">
      <c r="B16" s="113" t="s">
        <v>6007</v>
      </c>
      <c r="C16" s="1396" t="n">
        <v>1.5</v>
      </c>
      <c r="D16" s="648" t="n">
        <f aca="false">'Sponsorships · Revenue'!E27*1.5</f>
        <v>430500</v>
      </c>
      <c r="E16" s="1397" t="n">
        <f aca="false">D16/D14-1</f>
        <v>0.5</v>
      </c>
      <c r="F16" s="592" t="s">
        <v>6008</v>
      </c>
    </row>
    <row r="17" customFormat="false" ht="15" hidden="false" customHeight="true" outlineLevel="0" collapsed="false">
      <c r="B17" s="113" t="s">
        <v>6009</v>
      </c>
      <c r="C17" s="1396" t="n">
        <v>2</v>
      </c>
      <c r="D17" s="648" t="n">
        <f aca="false">'Sponsorships · Revenue'!E27*2</f>
        <v>574000</v>
      </c>
      <c r="E17" s="1397" t="n">
        <f aca="false">D17/D14-1</f>
        <v>1</v>
      </c>
      <c r="F17" s="592" t="s">
        <v>6010</v>
      </c>
    </row>
    <row r="18" customFormat="false" ht="15" hidden="false" customHeight="true" outlineLevel="0" collapsed="false">
      <c r="B18" s="6"/>
      <c r="F18" s="6"/>
    </row>
    <row r="19" customFormat="false" ht="21.75" hidden="false" customHeight="true" outlineLevel="0" collapsed="false">
      <c r="B19" s="72" t="s">
        <v>6011</v>
      </c>
      <c r="C19" s="72"/>
      <c r="D19" s="72"/>
      <c r="E19" s="72"/>
      <c r="F19" s="72"/>
      <c r="G19" s="72"/>
    </row>
    <row r="20" customFormat="false" ht="120" hidden="false" customHeight="true" outlineLevel="0" collapsed="false">
      <c r="B20" s="1398" t="s">
        <v>8211</v>
      </c>
      <c r="C20" s="1398"/>
      <c r="D20" s="1398"/>
      <c r="E20" s="1398"/>
      <c r="F20" s="1398"/>
      <c r="G20" s="1398"/>
    </row>
    <row r="21" customFormat="false" ht="15" hidden="false" customHeight="true" outlineLevel="0" collapsed="false">
      <c r="B21" s="1398"/>
      <c r="C21" s="1398"/>
      <c r="D21" s="1398"/>
      <c r="E21" s="1398"/>
      <c r="F21" s="1398"/>
      <c r="G21" s="1398"/>
    </row>
    <row r="22" customFormat="false" ht="15" hidden="false" customHeight="true" outlineLevel="0" collapsed="false">
      <c r="B22" s="1398"/>
      <c r="C22" s="1398"/>
      <c r="D22" s="1398"/>
      <c r="E22" s="1398"/>
      <c r="F22" s="1398"/>
      <c r="G22" s="1398"/>
    </row>
    <row r="23" customFormat="false" ht="15" hidden="false" customHeight="true" outlineLevel="0" collapsed="false">
      <c r="B23" s="1398"/>
      <c r="C23" s="1398"/>
      <c r="D23" s="1398"/>
      <c r="E23" s="1398"/>
      <c r="F23" s="1398"/>
      <c r="G23" s="1398"/>
    </row>
    <row r="24" customFormat="false" ht="15" hidden="false" customHeight="true" outlineLevel="0" collapsed="false">
      <c r="B24" s="1398"/>
      <c r="C24" s="1398"/>
      <c r="D24" s="1398"/>
      <c r="E24" s="1398"/>
      <c r="F24" s="1398"/>
      <c r="G24" s="1398"/>
    </row>
  </sheetData>
  <mergeCells count="7">
    <mergeCell ref="B2:E2"/>
    <mergeCell ref="F2:G2"/>
    <mergeCell ref="B3:G3"/>
    <mergeCell ref="B5:G5"/>
    <mergeCell ref="B12:G12"/>
    <mergeCell ref="B19:G19"/>
    <mergeCell ref="B20:G2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8"/>
    <col collapsed="false" customWidth="true" hidden="false" outlineLevel="0" max="8" min="8" style="0" width="9"/>
    <col collapsed="false" customWidth="true" hidden="false" outlineLevel="0" max="9" min="9" style="0" width="20"/>
    <col collapsed="false" customWidth="true" hidden="false" outlineLevel="0" max="11" min="10" style="0" width="12"/>
  </cols>
  <sheetData>
    <row r="1" customFormat="false" ht="3.75" hidden="false" customHeight="true" outlineLevel="0" collapsed="false">
      <c r="B1" s="1"/>
      <c r="C1" s="2"/>
      <c r="D1" s="2"/>
      <c r="E1" s="2"/>
      <c r="F1" s="1"/>
      <c r="G1" s="2"/>
      <c r="H1" s="2"/>
      <c r="I1" s="2"/>
    </row>
    <row r="2" customFormat="false" ht="27.75" hidden="false" customHeight="true" outlineLevel="0" collapsed="false">
      <c r="B2" s="88" t="s">
        <v>8212</v>
      </c>
      <c r="C2" s="88"/>
      <c r="D2" s="88"/>
      <c r="E2" s="88"/>
      <c r="F2" s="1023" t="s">
        <v>995</v>
      </c>
      <c r="G2" s="1023"/>
      <c r="H2" s="1023"/>
      <c r="I2" s="1023"/>
    </row>
    <row r="3" customFormat="false" ht="33.75" hidden="false" customHeight="true" outlineLevel="0" collapsed="false">
      <c r="B3" s="90" t="s">
        <v>7199</v>
      </c>
      <c r="C3" s="90"/>
      <c r="D3" s="90"/>
      <c r="E3" s="90"/>
      <c r="F3" s="90"/>
      <c r="G3" s="90"/>
      <c r="H3" s="90"/>
      <c r="I3" s="90"/>
    </row>
    <row r="4" customFormat="false" ht="15" hidden="false" customHeight="true" outlineLevel="0" collapsed="false">
      <c r="B4" s="6"/>
      <c r="F4" s="6"/>
    </row>
    <row r="5" customFormat="false" ht="21.75" hidden="false" customHeight="true" outlineLevel="0" collapsed="false">
      <c r="B5" s="96" t="s">
        <v>5096</v>
      </c>
      <c r="C5" s="96"/>
      <c r="D5" s="96"/>
      <c r="E5" s="96"/>
      <c r="F5" s="96"/>
      <c r="G5" s="96"/>
      <c r="I5" s="958" t="s">
        <v>4262</v>
      </c>
    </row>
    <row r="6" customFormat="false" ht="21.75" hidden="false" customHeight="true" outlineLevel="0" collapsed="false">
      <c r="B6" s="97" t="s">
        <v>3507</v>
      </c>
      <c r="C6" s="98" t="s">
        <v>4263</v>
      </c>
      <c r="D6" s="98" t="s">
        <v>4264</v>
      </c>
      <c r="E6" s="98" t="s">
        <v>2930</v>
      </c>
      <c r="F6" s="99" t="s">
        <v>4265</v>
      </c>
      <c r="G6" s="98" t="s">
        <v>4266</v>
      </c>
    </row>
    <row r="7" customFormat="false" ht="15" hidden="false" customHeight="true" outlineLevel="0" collapsed="false">
      <c r="B7" s="113" t="s">
        <v>8213</v>
      </c>
      <c r="C7" s="533" t="n">
        <f aca="false">1</f>
        <v>1</v>
      </c>
      <c r="D7" s="1450" t="s">
        <v>1650</v>
      </c>
      <c r="E7" s="1451" t="s">
        <v>7439</v>
      </c>
      <c r="F7" s="1289" t="s">
        <v>8214</v>
      </c>
      <c r="G7" s="565" t="s">
        <v>8215</v>
      </c>
    </row>
    <row r="8" customFormat="false" ht="15" hidden="false" customHeight="true" outlineLevel="0" collapsed="false">
      <c r="B8" s="113" t="s">
        <v>8216</v>
      </c>
      <c r="C8" s="533" t="n">
        <f aca="false">3</f>
        <v>3</v>
      </c>
      <c r="D8" s="1450" t="s">
        <v>8217</v>
      </c>
      <c r="E8" s="1451" t="s">
        <v>7439</v>
      </c>
      <c r="F8" s="1289" t="s">
        <v>8214</v>
      </c>
      <c r="G8" s="565" t="s">
        <v>8218</v>
      </c>
    </row>
    <row r="9" customFormat="false" ht="15" hidden="false" customHeight="true" outlineLevel="0" collapsed="false">
      <c r="B9" s="113" t="s">
        <v>8106</v>
      </c>
      <c r="C9" s="533" t="n">
        <f aca="false">'Sponsorships · Revenue'!E18/'Sponsorships · Drivers'!D17</f>
        <v>100000</v>
      </c>
      <c r="D9" s="1450" t="s">
        <v>7208</v>
      </c>
      <c r="E9" s="1451" t="s">
        <v>4302</v>
      </c>
      <c r="F9" s="1289" t="s">
        <v>8214</v>
      </c>
      <c r="G9" s="565" t="s">
        <v>8219</v>
      </c>
    </row>
    <row r="10" customFormat="false" ht="15" hidden="false" customHeight="true" outlineLevel="0" collapsed="false">
      <c r="B10" s="113" t="s">
        <v>8112</v>
      </c>
      <c r="C10" s="533" t="n">
        <f aca="false">'Sponsorships · Revenue'!E23/'Sponsorships · Drivers'!D21</f>
        <v>86666.6666666667</v>
      </c>
      <c r="D10" s="1450" t="s">
        <v>8220</v>
      </c>
      <c r="E10" s="1451" t="s">
        <v>4302</v>
      </c>
      <c r="F10" s="1289" t="s">
        <v>8214</v>
      </c>
      <c r="G10" s="565" t="s">
        <v>8219</v>
      </c>
    </row>
    <row r="11" customFormat="false" ht="15" hidden="false" customHeight="true" outlineLevel="0" collapsed="false">
      <c r="B11" s="113" t="s">
        <v>8221</v>
      </c>
      <c r="C11" s="533" t="n">
        <f aca="false">3</f>
        <v>3</v>
      </c>
      <c r="D11" s="1450" t="s">
        <v>8222</v>
      </c>
      <c r="E11" s="1451" t="s">
        <v>4302</v>
      </c>
      <c r="F11" s="1289" t="s">
        <v>8214</v>
      </c>
      <c r="G11" s="565" t="s">
        <v>8223</v>
      </c>
    </row>
    <row r="12" customFormat="false" ht="15" hidden="false" customHeight="true" outlineLevel="0" collapsed="false">
      <c r="B12" s="113" t="s">
        <v>8224</v>
      </c>
      <c r="C12" s="1314" t="n">
        <f aca="false">0.8</f>
        <v>0.8</v>
      </c>
      <c r="D12" s="1450" t="s">
        <v>7216</v>
      </c>
      <c r="E12" s="1451" t="s">
        <v>7439</v>
      </c>
      <c r="F12" s="1289" t="s">
        <v>8214</v>
      </c>
      <c r="G12" s="565" t="s">
        <v>8225</v>
      </c>
    </row>
    <row r="13" customFormat="false" ht="15" hidden="false" customHeight="true" outlineLevel="0" collapsed="false">
      <c r="B13" s="6"/>
      <c r="F13" s="6"/>
    </row>
    <row r="14" customFormat="false" ht="21.75" hidden="false" customHeight="true" outlineLevel="0" collapsed="false">
      <c r="B14" s="72" t="s">
        <v>4312</v>
      </c>
      <c r="C14" s="72"/>
      <c r="D14" s="72"/>
      <c r="E14" s="72"/>
      <c r="F14" s="72"/>
      <c r="G14" s="72"/>
    </row>
    <row r="15" customFormat="false" ht="21.75" hidden="false" customHeight="true" outlineLevel="0" collapsed="false">
      <c r="B15" s="97" t="s">
        <v>3507</v>
      </c>
      <c r="C15" s="98" t="s">
        <v>4313</v>
      </c>
      <c r="D15" s="98" t="s">
        <v>2255</v>
      </c>
      <c r="E15" s="98" t="s">
        <v>2930</v>
      </c>
      <c r="F15" s="99" t="s">
        <v>4265</v>
      </c>
      <c r="G15" s="98" t="s">
        <v>1658</v>
      </c>
    </row>
    <row r="16" customFormat="false" ht="15" hidden="false" customHeight="true" outlineLevel="0" collapsed="false">
      <c r="B16" s="113" t="s">
        <v>4314</v>
      </c>
      <c r="C16" s="544" t="n">
        <f aca="false">'Sponsorships · Revenue'!E27/12</f>
        <v>23916.6666666667</v>
      </c>
      <c r="D16" s="1450" t="s">
        <v>4269</v>
      </c>
      <c r="E16" s="1451" t="s">
        <v>4287</v>
      </c>
      <c r="F16" s="1289" t="s">
        <v>4315</v>
      </c>
      <c r="G16" s="565" t="s">
        <v>4316</v>
      </c>
    </row>
    <row r="17" customFormat="false" ht="15" hidden="false" customHeight="true" outlineLevel="0" collapsed="false">
      <c r="B17" s="113" t="s">
        <v>4317</v>
      </c>
      <c r="C17" s="544" t="n">
        <f aca="false">'Sponsorships · Costs'!C29/12</f>
        <v>15086.6666666667</v>
      </c>
      <c r="D17" s="1450" t="s">
        <v>4318</v>
      </c>
      <c r="E17" s="1451" t="s">
        <v>4287</v>
      </c>
      <c r="F17" s="1289" t="s">
        <v>4315</v>
      </c>
      <c r="G17" s="565" t="s">
        <v>4316</v>
      </c>
    </row>
    <row r="18" customFormat="false" ht="15" hidden="false" customHeight="true" outlineLevel="0" collapsed="false">
      <c r="B18" s="113" t="s">
        <v>4070</v>
      </c>
      <c r="C18" s="1288" t="n">
        <f aca="false">'Sponsorships · Costs'!C29/'Sponsorships · Revenue'!E27</f>
        <v>0.630801393728223</v>
      </c>
      <c r="D18" s="1450" t="s">
        <v>7216</v>
      </c>
      <c r="E18" s="1451" t="s">
        <v>4287</v>
      </c>
      <c r="F18" s="1289" t="s">
        <v>4315</v>
      </c>
      <c r="G18" s="565" t="s">
        <v>4320</v>
      </c>
    </row>
    <row r="19" customFormat="false" ht="15" hidden="false" customHeight="true" outlineLevel="0" collapsed="false">
      <c r="B19" s="113" t="s">
        <v>4321</v>
      </c>
      <c r="C19" s="544" t="n">
        <f aca="false">'Sponsorships · Cash Flow'!F28/12</f>
        <v>16272.6392953368</v>
      </c>
      <c r="D19" s="1450" t="s">
        <v>4322</v>
      </c>
      <c r="E19" s="1451" t="s">
        <v>4287</v>
      </c>
      <c r="F19" s="1289" t="s">
        <v>4315</v>
      </c>
      <c r="G19" s="565" t="s">
        <v>6065</v>
      </c>
    </row>
    <row r="20" customFormat="false" ht="15" hidden="false" customHeight="true" outlineLevel="0" collapsed="false">
      <c r="B20" s="113" t="s">
        <v>138</v>
      </c>
      <c r="C20" s="544" t="n">
        <f aca="false">'Sponsorships · Costs'!C29</f>
        <v>181040</v>
      </c>
      <c r="D20" s="1450" t="s">
        <v>7217</v>
      </c>
      <c r="E20" s="1451" t="s">
        <v>4302</v>
      </c>
      <c r="F20" s="1289" t="s">
        <v>4315</v>
      </c>
      <c r="G20" s="565" t="s">
        <v>91</v>
      </c>
    </row>
    <row r="21" customFormat="false" ht="15" hidden="false" customHeight="true" outlineLevel="0" collapsed="false">
      <c r="B21" s="113" t="s">
        <v>7218</v>
      </c>
      <c r="C21" s="1288" t="n">
        <f aca="false">'Sponsorships · 8-Year'!F11/'Sponsorships · 8-Year'!E11-1</f>
        <v>0.03</v>
      </c>
      <c r="D21" s="1450" t="s">
        <v>5302</v>
      </c>
      <c r="E21" s="1451" t="s">
        <v>4330</v>
      </c>
      <c r="F21" s="1289" t="s">
        <v>4315</v>
      </c>
      <c r="G21" s="565" t="s">
        <v>7219</v>
      </c>
    </row>
    <row r="22" customFormat="false" ht="15" hidden="false" customHeight="true" outlineLevel="0" collapsed="false">
      <c r="B22" s="6"/>
      <c r="F22" s="6"/>
    </row>
    <row r="23" customFormat="false" ht="15" hidden="false" customHeight="true" outlineLevel="0" collapsed="false">
      <c r="B23" s="6"/>
      <c r="F23" s="6"/>
    </row>
    <row r="24" customFormat="false" ht="21.75" hidden="false" customHeight="true" outlineLevel="0" collapsed="false">
      <c r="B24" s="304" t="s">
        <v>5173</v>
      </c>
      <c r="C24" s="304"/>
      <c r="D24" s="304"/>
      <c r="E24" s="304"/>
      <c r="F24" s="304"/>
      <c r="G24" s="304"/>
    </row>
    <row r="25" customFormat="false" ht="120" hidden="false" customHeight="true" outlineLevel="0" collapsed="false">
      <c r="B25" s="85" t="s">
        <v>7220</v>
      </c>
      <c r="C25" s="85"/>
      <c r="D25" s="85"/>
      <c r="E25" s="85"/>
      <c r="F25" s="85"/>
      <c r="G25" s="85"/>
    </row>
    <row r="26" customFormat="false" ht="15" hidden="false" customHeight="true" outlineLevel="0" collapsed="false">
      <c r="B26" s="85"/>
      <c r="C26" s="85"/>
      <c r="D26" s="85"/>
      <c r="E26" s="85"/>
      <c r="F26" s="85"/>
      <c r="G26" s="85"/>
    </row>
    <row r="27" customFormat="false" ht="15" hidden="false" customHeight="true" outlineLevel="0" collapsed="false">
      <c r="B27" s="85"/>
      <c r="C27" s="85"/>
      <c r="D27" s="85"/>
      <c r="E27" s="85"/>
      <c r="F27" s="85"/>
      <c r="G27" s="85"/>
    </row>
    <row r="28" customFormat="false" ht="15" hidden="false" customHeight="true" outlineLevel="0" collapsed="false">
      <c r="B28" s="85"/>
      <c r="C28" s="85"/>
      <c r="D28" s="85"/>
      <c r="E28" s="85"/>
      <c r="F28" s="85"/>
      <c r="G28" s="85"/>
    </row>
    <row r="29" customFormat="false" ht="15" hidden="false" customHeight="true" outlineLevel="0" collapsed="false">
      <c r="B29" s="85"/>
      <c r="C29" s="85"/>
      <c r="D29" s="85"/>
      <c r="E29" s="85"/>
      <c r="F29" s="85"/>
      <c r="G29" s="85"/>
    </row>
  </sheetData>
  <mergeCells count="7">
    <mergeCell ref="B2:E2"/>
    <mergeCell ref="F2:I2"/>
    <mergeCell ref="B3:I3"/>
    <mergeCell ref="B5:G5"/>
    <mergeCell ref="B14:G14"/>
    <mergeCell ref="B24:G24"/>
    <mergeCell ref="B25:G2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I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5" min="5" style="0" width="24.83"/>
    <col collapsed="false" customWidth="true" hidden="false" outlineLevel="0" max="6" min="6" style="0" width="38.33"/>
    <col collapsed="false" customWidth="true" hidden="false" outlineLevel="0" max="9" min="7" style="0" width="20"/>
  </cols>
  <sheetData>
    <row r="1" customFormat="false" ht="3.75" hidden="false" customHeight="true" outlineLevel="0" collapsed="false">
      <c r="B1" s="1"/>
      <c r="C1" s="2"/>
      <c r="D1" s="2"/>
      <c r="E1" s="2"/>
      <c r="F1" s="1"/>
      <c r="G1" s="2"/>
      <c r="H1" s="2"/>
      <c r="I1" s="2"/>
    </row>
    <row r="2" customFormat="false" ht="33.75" hidden="false" customHeight="true" outlineLevel="0" collapsed="false">
      <c r="B2" s="15" t="s">
        <v>1654</v>
      </c>
      <c r="C2" s="15"/>
      <c r="D2" s="15"/>
      <c r="E2" s="15"/>
      <c r="F2" s="15"/>
      <c r="G2" s="89" t="s">
        <v>198</v>
      </c>
      <c r="H2" s="89"/>
      <c r="I2" s="89"/>
    </row>
    <row r="3" customFormat="false" ht="36" hidden="false" customHeight="true" outlineLevel="0" collapsed="false">
      <c r="B3" s="529" t="s">
        <v>1655</v>
      </c>
      <c r="C3" s="529"/>
      <c r="D3" s="529"/>
      <c r="E3" s="529"/>
      <c r="F3" s="529"/>
      <c r="G3" s="529"/>
      <c r="H3" s="529"/>
      <c r="I3" s="529"/>
    </row>
    <row r="4" customFormat="false" ht="15" hidden="false" customHeight="true" outlineLevel="0" collapsed="false">
      <c r="B4" s="6"/>
      <c r="F4" s="6"/>
    </row>
    <row r="5" customFormat="false" ht="51" hidden="false" customHeight="true" outlineLevel="0" collapsed="false">
      <c r="B5" s="530" t="s">
        <v>1656</v>
      </c>
      <c r="C5" s="530"/>
      <c r="D5" s="530"/>
      <c r="E5" s="530"/>
      <c r="F5" s="530"/>
      <c r="G5" s="530"/>
      <c r="H5" s="530"/>
      <c r="I5" s="530"/>
    </row>
    <row r="6" customFormat="false" ht="15" hidden="false" customHeight="true" outlineLevel="0" collapsed="false">
      <c r="B6" s="6"/>
      <c r="F6" s="6"/>
    </row>
    <row r="7" customFormat="false" ht="36" hidden="false" customHeight="true" outlineLevel="0" collapsed="false">
      <c r="B7" s="43" t="s">
        <v>1657</v>
      </c>
      <c r="C7" s="43"/>
      <c r="D7" s="43"/>
      <c r="E7" s="43"/>
      <c r="F7" s="43"/>
      <c r="G7" s="43"/>
      <c r="H7" s="43"/>
      <c r="I7" s="43"/>
    </row>
    <row r="8" customFormat="false" ht="21.75" hidden="false" customHeight="true" outlineLevel="0" collapsed="false">
      <c r="B8" s="97" t="s">
        <v>1658</v>
      </c>
      <c r="C8" s="98" t="s">
        <v>1659</v>
      </c>
      <c r="D8" s="98" t="s">
        <v>1660</v>
      </c>
      <c r="E8" s="98" t="s">
        <v>1661</v>
      </c>
      <c r="F8" s="99" t="s">
        <v>778</v>
      </c>
    </row>
    <row r="9" customFormat="false" ht="21.75" hidden="false" customHeight="true" outlineLevel="0" collapsed="false">
      <c r="B9" s="113" t="s">
        <v>1662</v>
      </c>
      <c r="C9" s="531" t="n">
        <v>4500000</v>
      </c>
      <c r="D9" s="532" t="n">
        <v>0.005</v>
      </c>
      <c r="E9" s="533" t="n">
        <f aca="false">C9*D9</f>
        <v>22500</v>
      </c>
      <c r="F9" s="128" t="s">
        <v>1663</v>
      </c>
    </row>
    <row r="10" customFormat="false" ht="36" hidden="false" customHeight="true" outlineLevel="0" collapsed="false">
      <c r="B10" s="113" t="s">
        <v>1664</v>
      </c>
      <c r="C10" s="531" t="n">
        <v>350000</v>
      </c>
      <c r="D10" s="532" t="n">
        <v>0.014</v>
      </c>
      <c r="E10" s="533" t="n">
        <f aca="false">C10*D10</f>
        <v>4900</v>
      </c>
      <c r="F10" s="128" t="s">
        <v>1665</v>
      </c>
    </row>
    <row r="11" customFormat="false" ht="21.75" hidden="false" customHeight="true" outlineLevel="0" collapsed="false">
      <c r="B11" s="113" t="s">
        <v>1666</v>
      </c>
      <c r="C11" s="531" t="n">
        <v>8500</v>
      </c>
      <c r="D11" s="532" t="n">
        <v>0.024</v>
      </c>
      <c r="E11" s="533" t="n">
        <f aca="false">C11*D11</f>
        <v>204</v>
      </c>
      <c r="F11" s="128" t="s">
        <v>1667</v>
      </c>
    </row>
    <row r="12" customFormat="false" ht="15" hidden="false" customHeight="true" outlineLevel="0" collapsed="false">
      <c r="B12" s="113" t="s">
        <v>1668</v>
      </c>
      <c r="C12" s="531" t="n">
        <v>2400000</v>
      </c>
      <c r="D12" s="532" t="n">
        <v>0.01</v>
      </c>
      <c r="E12" s="533" t="n">
        <f aca="false">C12*D12</f>
        <v>24000</v>
      </c>
      <c r="F12" s="128" t="s">
        <v>1669</v>
      </c>
    </row>
    <row r="13" customFormat="false" ht="15" hidden="false" customHeight="true" outlineLevel="0" collapsed="false">
      <c r="B13" s="113" t="s">
        <v>1670</v>
      </c>
      <c r="C13" s="531" t="n">
        <v>850000</v>
      </c>
      <c r="D13" s="532" t="n">
        <v>0.026</v>
      </c>
      <c r="E13" s="533" t="n">
        <f aca="false">C13*D13</f>
        <v>22100</v>
      </c>
      <c r="F13" s="128" t="s">
        <v>1671</v>
      </c>
    </row>
    <row r="14" customFormat="false" ht="15" hidden="false" customHeight="true" outlineLevel="0" collapsed="false">
      <c r="B14" s="439" t="s">
        <v>1672</v>
      </c>
      <c r="C14" s="534"/>
      <c r="D14" s="534"/>
      <c r="E14" s="535" t="n">
        <f aca="false">SUM(E9:E13)</f>
        <v>73704</v>
      </c>
      <c r="F14" s="536"/>
    </row>
    <row r="15" customFormat="false" ht="15" hidden="false" customHeight="true" outlineLevel="0" collapsed="false">
      <c r="B15" s="6"/>
      <c r="F15" s="6"/>
    </row>
    <row r="16" customFormat="false" ht="15" hidden="false" customHeight="true" outlineLevel="0" collapsed="false">
      <c r="B16" s="6"/>
      <c r="F16" s="6"/>
    </row>
    <row r="17" customFormat="false" ht="36" hidden="false" customHeight="true" outlineLevel="0" collapsed="false">
      <c r="B17" s="43" t="s">
        <v>1673</v>
      </c>
      <c r="C17" s="43"/>
      <c r="D17" s="43"/>
      <c r="E17" s="43"/>
      <c r="F17" s="43"/>
      <c r="G17" s="43"/>
      <c r="H17" s="43"/>
      <c r="I17" s="43"/>
    </row>
    <row r="18" customFormat="false" ht="21.75" hidden="false" customHeight="true" outlineLevel="0" collapsed="false">
      <c r="B18" s="97" t="s">
        <v>136</v>
      </c>
      <c r="C18" s="98" t="s">
        <v>1674</v>
      </c>
      <c r="D18" s="98" t="s">
        <v>1675</v>
      </c>
      <c r="E18" s="98" t="s">
        <v>778</v>
      </c>
      <c r="F18" s="6"/>
    </row>
    <row r="19" customFormat="false" ht="66" hidden="false" customHeight="true" outlineLevel="0" collapsed="false">
      <c r="B19" s="113" t="s">
        <v>217</v>
      </c>
      <c r="C19" s="537" t="n">
        <v>0.42</v>
      </c>
      <c r="D19" s="533" t="n">
        <f aca="false">$E$14*C19</f>
        <v>30955.68</v>
      </c>
      <c r="E19" s="538" t="s">
        <v>1676</v>
      </c>
      <c r="F19" s="6"/>
    </row>
    <row r="20" customFormat="false" ht="32.25" hidden="false" customHeight="true" outlineLevel="0" collapsed="false">
      <c r="B20" s="113" t="s">
        <v>218</v>
      </c>
      <c r="C20" s="537" t="n">
        <v>0.18</v>
      </c>
      <c r="D20" s="533" t="n">
        <f aca="false">$E$14*C20</f>
        <v>13266.72</v>
      </c>
      <c r="E20" s="538" t="s">
        <v>1677</v>
      </c>
      <c r="F20" s="6"/>
    </row>
    <row r="21" customFormat="false" ht="32.25" hidden="false" customHeight="true" outlineLevel="0" collapsed="false">
      <c r="B21" s="113" t="s">
        <v>145</v>
      </c>
      <c r="C21" s="537" t="n">
        <v>0.16</v>
      </c>
      <c r="D21" s="533" t="n">
        <f aca="false">$E$14*C21</f>
        <v>11792.64</v>
      </c>
      <c r="E21" s="538" t="s">
        <v>1678</v>
      </c>
      <c r="F21" s="6"/>
    </row>
    <row r="22" customFormat="false" ht="32.25" hidden="false" customHeight="true" outlineLevel="0" collapsed="false">
      <c r="B22" s="113" t="s">
        <v>151</v>
      </c>
      <c r="C22" s="537" t="n">
        <v>0.12</v>
      </c>
      <c r="D22" s="533" t="n">
        <f aca="false">$E$14*C22</f>
        <v>8844.48</v>
      </c>
      <c r="E22" s="538" t="s">
        <v>1679</v>
      </c>
      <c r="F22" s="6"/>
    </row>
    <row r="23" customFormat="false" ht="32.25" hidden="false" customHeight="true" outlineLevel="0" collapsed="false">
      <c r="B23" s="113" t="s">
        <v>219</v>
      </c>
      <c r="C23" s="537" t="n">
        <v>0.12</v>
      </c>
      <c r="D23" s="533" t="n">
        <f aca="false">$E$14*C23</f>
        <v>8844.48</v>
      </c>
      <c r="E23" s="538" t="s">
        <v>1680</v>
      </c>
      <c r="F23" s="6"/>
    </row>
    <row r="24" customFormat="false" ht="15" hidden="false" customHeight="true" outlineLevel="0" collapsed="false">
      <c r="B24" s="439" t="s">
        <v>1681</v>
      </c>
      <c r="C24" s="539" t="n">
        <f aca="false">SUM(C19:C23)</f>
        <v>1</v>
      </c>
      <c r="D24" s="535" t="n">
        <f aca="false">SUM(D19:D23)</f>
        <v>73704</v>
      </c>
      <c r="E24" s="540" t="str">
        <f aca="false">IF(ABS(C24-1)&lt;0.001,"✓ sums to 100%","⚠ check")</f>
        <v>✓ sums to 100%</v>
      </c>
      <c r="F24" s="6"/>
    </row>
    <row r="25" customFormat="false" ht="15" hidden="false" customHeight="true" outlineLevel="0" collapsed="false">
      <c r="B25" s="6"/>
      <c r="F25" s="6"/>
    </row>
    <row r="26" customFormat="false" ht="15" hidden="false" customHeight="true" outlineLevel="0" collapsed="false">
      <c r="B26" s="6"/>
      <c r="F26" s="6"/>
    </row>
    <row r="27" customFormat="false" ht="36" hidden="false" customHeight="true" outlineLevel="0" collapsed="false">
      <c r="B27" s="43" t="s">
        <v>1682</v>
      </c>
      <c r="C27" s="43"/>
      <c r="D27" s="43"/>
      <c r="E27" s="43"/>
      <c r="F27" s="43"/>
      <c r="G27" s="43"/>
      <c r="H27" s="43"/>
      <c r="I27" s="43"/>
    </row>
    <row r="28" customFormat="false" ht="21.75" hidden="false" customHeight="true" outlineLevel="0" collapsed="false">
      <c r="B28" s="97" t="s">
        <v>1640</v>
      </c>
      <c r="C28" s="98" t="s">
        <v>1683</v>
      </c>
      <c r="D28" s="98" t="s">
        <v>1684</v>
      </c>
      <c r="E28" s="98" t="s">
        <v>1685</v>
      </c>
      <c r="F28" s="99" t="s">
        <v>1686</v>
      </c>
    </row>
    <row r="29" customFormat="false" ht="15" hidden="false" customHeight="true" outlineLevel="0" collapsed="false">
      <c r="B29" s="113" t="s">
        <v>1687</v>
      </c>
      <c r="C29" s="541" t="n">
        <f aca="false">'Gaming · Drivers'!C16</f>
        <v>55900</v>
      </c>
      <c r="D29" s="542" t="n">
        <f aca="false">'Academy · Drivers'!C24</f>
        <v>0.05</v>
      </c>
      <c r="E29" s="533" t="n">
        <f aca="false">C29*D29</f>
        <v>2795</v>
      </c>
      <c r="F29" s="128" t="s">
        <v>1688</v>
      </c>
    </row>
    <row r="30" customFormat="false" ht="15" hidden="false" customHeight="true" outlineLevel="0" collapsed="false">
      <c r="B30" s="113" t="s">
        <v>1689</v>
      </c>
      <c r="C30" s="541" t="n">
        <f aca="false">'Events · Drivers'!C24*'Events · Drivers'!C32*12</f>
        <v>33000</v>
      </c>
      <c r="D30" s="542" t="s">
        <v>1690</v>
      </c>
      <c r="E30" s="533" t="n">
        <f aca="false">C30*D30</f>
        <v>28050</v>
      </c>
      <c r="F30" s="128" t="s">
        <v>1691</v>
      </c>
    </row>
    <row r="31" customFormat="false" ht="36" hidden="false" customHeight="true" outlineLevel="0" collapsed="false">
      <c r="B31" s="113" t="s">
        <v>1692</v>
      </c>
      <c r="C31" s="541" t="n">
        <f aca="false">'Academy · Drivers'!C60*12</f>
        <v>2340</v>
      </c>
      <c r="D31" s="542" t="n">
        <f aca="false">E31/C31</f>
        <v>0.0256410256410256</v>
      </c>
      <c r="E31" s="533" t="n">
        <f aca="false">'Academy · Drivers'!C247</f>
        <v>60</v>
      </c>
      <c r="F31" s="128" t="s">
        <v>1693</v>
      </c>
    </row>
    <row r="32" customFormat="false" ht="15" hidden="false" customHeight="true" outlineLevel="0" collapsed="false">
      <c r="B32" s="113" t="s">
        <v>1694</v>
      </c>
      <c r="C32" s="541" t="n">
        <f aca="false">'Museum · Drivers'!C55</f>
        <v>31927.2</v>
      </c>
      <c r="D32" s="542" t="n">
        <f aca="false">'Museum · Drivers'!C59</f>
        <v>0.4</v>
      </c>
      <c r="E32" s="533" t="n">
        <f aca="false">C32*D32</f>
        <v>12770.88</v>
      </c>
      <c r="F32" s="128" t="s">
        <v>1695</v>
      </c>
    </row>
    <row r="33" customFormat="false" ht="15" hidden="false" customHeight="true" outlineLevel="0" collapsed="false">
      <c r="B33" s="113" t="s">
        <v>1696</v>
      </c>
      <c r="C33" s="541" t="n">
        <f aca="false">'Gaming · Drivers'!C16</f>
        <v>55900</v>
      </c>
      <c r="D33" s="542" t="s">
        <v>1697</v>
      </c>
      <c r="E33" s="533" t="n">
        <f aca="false">C33*D33</f>
        <v>2515.5</v>
      </c>
      <c r="F33" s="128" t="s">
        <v>1698</v>
      </c>
    </row>
    <row r="34" customFormat="false" ht="15" hidden="false" customHeight="true" outlineLevel="0" collapsed="false">
      <c r="B34" s="6"/>
      <c r="F34" s="6"/>
    </row>
    <row r="35" customFormat="false" ht="15" hidden="false" customHeight="true" outlineLevel="0" collapsed="false">
      <c r="B35" s="6"/>
      <c r="F35" s="6"/>
    </row>
    <row r="36" customFormat="false" ht="15" hidden="false" customHeight="true" outlineLevel="0" collapsed="false">
      <c r="B36" s="6"/>
      <c r="F36" s="6"/>
    </row>
    <row r="37" customFormat="false" ht="36" hidden="false" customHeight="true" outlineLevel="0" collapsed="false">
      <c r="B37" s="43" t="s">
        <v>1699</v>
      </c>
      <c r="C37" s="43"/>
      <c r="D37" s="43"/>
      <c r="E37" s="43"/>
      <c r="F37" s="43"/>
      <c r="G37" s="43"/>
      <c r="H37" s="43"/>
      <c r="I37" s="43"/>
    </row>
    <row r="38" customFormat="false" ht="21.75" hidden="false" customHeight="true" outlineLevel="0" collapsed="false">
      <c r="B38" s="97" t="s">
        <v>136</v>
      </c>
      <c r="C38" s="98" t="s">
        <v>1531</v>
      </c>
      <c r="D38" s="98" t="s">
        <v>1700</v>
      </c>
      <c r="E38" s="98" t="s">
        <v>1701</v>
      </c>
      <c r="F38" s="99" t="s">
        <v>89</v>
      </c>
    </row>
    <row r="39" customFormat="false" ht="15" hidden="false" customHeight="true" outlineLevel="0" collapsed="false">
      <c r="B39" s="113" t="s">
        <v>217</v>
      </c>
      <c r="C39" s="541" t="n">
        <f aca="false">'Gaming · Drivers'!C16</f>
        <v>55900</v>
      </c>
      <c r="D39" s="543" t="n">
        <f aca="false">'Gaming · Revenue'!D58/'Gaming · Drivers'!C16</f>
        <v>17.9069472271914</v>
      </c>
      <c r="E39" s="544" t="n">
        <f aca="false">C39*D39</f>
        <v>1000998.35</v>
      </c>
      <c r="F39" s="545" t="n">
        <f aca="false">'Gaming · Revenue'!D58</f>
        <v>1000998.35</v>
      </c>
    </row>
    <row r="40" customFormat="false" ht="15" hidden="false" customHeight="true" outlineLevel="0" collapsed="false">
      <c r="B40" s="113" t="s">
        <v>218</v>
      </c>
      <c r="C40" s="541" t="n">
        <f aca="false">'Events · Drivers'!C32*12</f>
        <v>132</v>
      </c>
      <c r="D40" s="543" t="n">
        <f aca="false">'Events · Revenue'!E18/('Events · Drivers'!C32*12)</f>
        <v>9137.95454545455</v>
      </c>
      <c r="E40" s="544" t="n">
        <f aca="false">C40*D40</f>
        <v>1206210</v>
      </c>
      <c r="F40" s="545" t="n">
        <f aca="false">'Events · Revenue'!E18</f>
        <v>1206210</v>
      </c>
    </row>
    <row r="41" customFormat="false" ht="15" hidden="false" customHeight="true" outlineLevel="0" collapsed="false">
      <c r="B41" s="113" t="s">
        <v>145</v>
      </c>
      <c r="C41" s="541" t="n">
        <f aca="false">'Academy · Drivers'!C60*12</f>
        <v>2340</v>
      </c>
      <c r="D41" s="543" t="n">
        <f aca="false">'Academy · Revenue'!E17/('Academy · Drivers'!C60*12)</f>
        <v>681.653846153846</v>
      </c>
      <c r="E41" s="544" t="n">
        <f aca="false">C41*D41</f>
        <v>1595070</v>
      </c>
      <c r="F41" s="545" t="n">
        <f aca="false">'Academy · Revenue'!E17</f>
        <v>1595070</v>
      </c>
    </row>
    <row r="42" customFormat="false" ht="15" hidden="false" customHeight="true" outlineLevel="0" collapsed="false">
      <c r="B42" s="113" t="s">
        <v>151</v>
      </c>
      <c r="C42" s="541" t="n">
        <f aca="false">'Museum · Drivers'!C55</f>
        <v>31927.2</v>
      </c>
      <c r="D42" s="543" t="n">
        <f aca="false">'Museum · Revenue'!E24/'Museum · Drivers'!C55</f>
        <v>15.3121194467413</v>
      </c>
      <c r="E42" s="544" t="n">
        <f aca="false">C42*D42</f>
        <v>488873.1</v>
      </c>
      <c r="F42" s="545" t="n">
        <f aca="false">'Museum · Revenue'!E24</f>
        <v>488873.1</v>
      </c>
    </row>
    <row r="43" customFormat="false" ht="15" hidden="false" customHeight="true" outlineLevel="0" collapsed="false">
      <c r="B43" s="113" t="s">
        <v>219</v>
      </c>
      <c r="C43" s="541" t="n">
        <f aca="false">'Esports · Drivers'!C31</f>
        <v>140</v>
      </c>
      <c r="D43" s="543" t="n">
        <f aca="false">'Esports · Revenue'!E12/'Esports · Drivers'!C31</f>
        <v>4954.68857142857</v>
      </c>
      <c r="E43" s="544" t="n">
        <f aca="false">C43*D43</f>
        <v>693656.4</v>
      </c>
      <c r="F43" s="545" t="n">
        <f aca="false">'Esports · Revenue'!E12</f>
        <v>693656.4</v>
      </c>
    </row>
    <row r="44" customFormat="false" ht="15" hidden="false" customHeight="true" outlineLevel="0" collapsed="false">
      <c r="B44" s="439" t="s">
        <v>1702</v>
      </c>
      <c r="E44" s="440" t="n">
        <f aca="false">SUM(E39:E43)</f>
        <v>4984807.85</v>
      </c>
      <c r="F44" s="546" t="n">
        <f aca="false">SUM(F39:F43)</f>
        <v>4984807.85</v>
      </c>
    </row>
    <row r="45" customFormat="false" ht="15" hidden="false" customHeight="true" outlineLevel="0" collapsed="false">
      <c r="B45" s="6"/>
      <c r="F45" s="6"/>
    </row>
    <row r="46" customFormat="false" ht="15" hidden="false" customHeight="true" outlineLevel="0" collapsed="false">
      <c r="B46" s="6"/>
      <c r="F46" s="6"/>
    </row>
    <row r="47" customFormat="false" ht="36" hidden="false" customHeight="true" outlineLevel="0" collapsed="false">
      <c r="B47" s="43" t="s">
        <v>1703</v>
      </c>
      <c r="C47" s="43"/>
      <c r="D47" s="43"/>
      <c r="E47" s="43"/>
      <c r="F47" s="43"/>
      <c r="G47" s="43"/>
      <c r="H47" s="43"/>
      <c r="I47" s="43"/>
    </row>
    <row r="48" customFormat="false" ht="21.75" hidden="false" customHeight="true" outlineLevel="0" collapsed="false">
      <c r="B48" s="97" t="s">
        <v>136</v>
      </c>
      <c r="C48" s="98" t="s">
        <v>1704</v>
      </c>
      <c r="D48" s="98" t="s">
        <v>1705</v>
      </c>
      <c r="E48" s="98" t="s">
        <v>1706</v>
      </c>
      <c r="F48" s="99" t="s">
        <v>1707</v>
      </c>
    </row>
    <row r="49" customFormat="false" ht="36" hidden="false" customHeight="true" outlineLevel="0" collapsed="false">
      <c r="B49" s="113" t="s">
        <v>217</v>
      </c>
      <c r="C49" s="541" t="n">
        <f aca="false">'Gaming · Drivers'!C16</f>
        <v>55900</v>
      </c>
      <c r="D49" s="541" t="s">
        <v>1708</v>
      </c>
      <c r="E49" s="533" t="n">
        <f aca="false">MIN(C49,D49)</f>
        <v>55900</v>
      </c>
      <c r="F49" s="128" t="str">
        <f aca="false">IF(C49&lt;=D49,"✓ "&amp;TEXT(D49-C49,"#,##0")&amp;" headroom","⚠ EXCEEDS by "&amp;TEXT(C49-D49,"#,##0"))</f>
        <v>✓ 4,100 headroom</v>
      </c>
    </row>
    <row r="50" customFormat="false" ht="36" hidden="false" customHeight="true" outlineLevel="0" collapsed="false">
      <c r="B50" s="113" t="s">
        <v>218</v>
      </c>
      <c r="C50" s="541" t="n">
        <f aca="false">'Events · Drivers'!C32*12</f>
        <v>132</v>
      </c>
      <c r="D50" s="541" t="n">
        <f aca="false">30*12</f>
        <v>360</v>
      </c>
      <c r="E50" s="533" t="n">
        <f aca="false">MIN(C50,D50)</f>
        <v>132</v>
      </c>
      <c r="F50" s="128" t="str">
        <f aca="false">IF(C50&lt;=D50,"✓ "&amp;TEXT(D50-C50,"#,##0")&amp;" headroom","⚠ EXCEEDS by "&amp;TEXT(C50-D50,"#,##0"))</f>
        <v>✓ 228 headroom</v>
      </c>
    </row>
    <row r="51" customFormat="false" ht="36" hidden="false" customHeight="true" outlineLevel="0" collapsed="false">
      <c r="B51" s="113" t="s">
        <v>145</v>
      </c>
      <c r="C51" s="541" t="n">
        <f aca="false">'Academy · Drivers'!C56*12</f>
        <v>18720</v>
      </c>
      <c r="D51" s="541" t="n">
        <f aca="false">'Academy · Drivers'!C49*12</f>
        <v>582940.8</v>
      </c>
      <c r="E51" s="533" t="n">
        <f aca="false">MIN(C51,D51)</f>
        <v>18720</v>
      </c>
      <c r="F51" s="128" t="str">
        <f aca="false">IF(C51&lt;=D51,"✓ "&amp;TEXT(D51-C51,"#,##0")&amp;" headroom","⚠ EXCEEDS by "&amp;TEXT(C51-D51,"#,##0"))</f>
        <v>✓ 564,221 headroom</v>
      </c>
    </row>
    <row r="52" customFormat="false" ht="36" hidden="false" customHeight="true" outlineLevel="0" collapsed="false">
      <c r="B52" s="113" t="s">
        <v>151</v>
      </c>
      <c r="C52" s="541" t="n">
        <f aca="false">'Museum · Drivers'!C55</f>
        <v>31927.2</v>
      </c>
      <c r="D52" s="541" t="n">
        <f aca="false">200*'Museum · Drivers'!C29</f>
        <v>60000</v>
      </c>
      <c r="E52" s="533" t="n">
        <f aca="false">MIN(C52,D52)</f>
        <v>31927.2</v>
      </c>
      <c r="F52" s="128" t="str">
        <f aca="false">IF(C52&lt;=D52,"✓ "&amp;TEXT(D52-C52,"#,##0")&amp;" headroom","⚠ EXCEEDS by "&amp;TEXT(C52-D52,"#,##0"))</f>
        <v>✓ 28,073 headroom</v>
      </c>
    </row>
    <row r="53" customFormat="false" ht="36" hidden="false" customHeight="true" outlineLevel="0" collapsed="false">
      <c r="B53" s="113" t="s">
        <v>219</v>
      </c>
      <c r="C53" s="541" t="n">
        <f aca="false">'Esports · Drivers'!C24*'Esports · Drivers'!C25*'Esports · Drivers'!C26*12</f>
        <v>259200</v>
      </c>
      <c r="D53" s="541" t="n">
        <f aca="false">'Esports · Drivers'!C24*16*30*12</f>
        <v>345600</v>
      </c>
      <c r="E53" s="533" t="n">
        <f aca="false">MIN(C53,D53)</f>
        <v>259200</v>
      </c>
      <c r="F53" s="128" t="str">
        <f aca="false">IF(C53&lt;=D53,"✓ "&amp;TEXT(D53-C53,"#,##0")&amp;" headroom","⚠ EXCEEDS by "&amp;TEXT(C53-D53,"#,##0"))</f>
        <v>✓ 86,400 headroom</v>
      </c>
    </row>
    <row r="54" customFormat="false" ht="15" hidden="false" customHeight="true" outlineLevel="0" collapsed="false">
      <c r="B54" s="6"/>
      <c r="F54" s="6"/>
    </row>
    <row r="55" customFormat="false" ht="15" hidden="false" customHeight="true" outlineLevel="0" collapsed="false">
      <c r="B55" s="6"/>
      <c r="F55" s="6"/>
    </row>
    <row r="56" customFormat="false" ht="15" hidden="false" customHeight="true" outlineLevel="0" collapsed="false">
      <c r="B56" s="6"/>
      <c r="F56" s="6"/>
    </row>
    <row r="57" customFormat="false" ht="36" hidden="false" customHeight="true" outlineLevel="0" collapsed="false">
      <c r="B57" s="43" t="s">
        <v>1709</v>
      </c>
      <c r="C57" s="43"/>
      <c r="D57" s="43"/>
      <c r="E57" s="43"/>
      <c r="F57" s="43"/>
      <c r="G57" s="43"/>
      <c r="H57" s="43"/>
      <c r="I57" s="43"/>
    </row>
    <row r="58" customFormat="false" ht="21.75" hidden="false" customHeight="true" outlineLevel="0" collapsed="false">
      <c r="B58" s="97" t="s">
        <v>136</v>
      </c>
      <c r="C58" s="98" t="s">
        <v>1701</v>
      </c>
      <c r="D58" s="98" t="s">
        <v>89</v>
      </c>
      <c r="E58" s="98" t="s">
        <v>1710</v>
      </c>
      <c r="F58" s="99" t="s">
        <v>669</v>
      </c>
    </row>
    <row r="59" customFormat="false" ht="15" hidden="false" customHeight="true" outlineLevel="0" collapsed="false">
      <c r="B59" s="113" t="s">
        <v>217</v>
      </c>
      <c r="C59" s="547" t="n">
        <f aca="false">'Gaming · Revenue'!D58</f>
        <v>1000998.35</v>
      </c>
      <c r="D59" s="547" t="n">
        <f aca="false">'Master Revenue'!H7</f>
        <v>1000998.35</v>
      </c>
      <c r="E59" s="548" t="n">
        <f aca="false">C59-D59</f>
        <v>0</v>
      </c>
      <c r="F59" s="549" t="str">
        <f aca="false">IF(ABS(E59)&lt;1,"✓ EXACT MATCH","⚠ check")</f>
        <v>✓ EXACT MATCH</v>
      </c>
    </row>
    <row r="60" customFormat="false" ht="15" hidden="false" customHeight="true" outlineLevel="0" collapsed="false">
      <c r="B60" s="113" t="s">
        <v>218</v>
      </c>
      <c r="C60" s="547" t="n">
        <f aca="false">'Events · Revenue'!E18</f>
        <v>1206210</v>
      </c>
      <c r="D60" s="547" t="n">
        <f aca="false">'Master Revenue'!H8</f>
        <v>1206210</v>
      </c>
      <c r="E60" s="548" t="n">
        <f aca="false">C60-D60</f>
        <v>0</v>
      </c>
      <c r="F60" s="549" t="str">
        <f aca="false">IF(ABS(E60)&lt;1,"✓ EXACT MATCH","⚠ check")</f>
        <v>✓ EXACT MATCH</v>
      </c>
    </row>
    <row r="61" customFormat="false" ht="15" hidden="false" customHeight="true" outlineLevel="0" collapsed="false">
      <c r="B61" s="113" t="s">
        <v>145</v>
      </c>
      <c r="C61" s="547" t="n">
        <f aca="false">'Academy · Revenue'!E17</f>
        <v>1595070</v>
      </c>
      <c r="D61" s="547" t="n">
        <f aca="false">'Master Revenue'!H9</f>
        <v>1595070</v>
      </c>
      <c r="E61" s="548" t="n">
        <f aca="false">C61-D61</f>
        <v>0</v>
      </c>
      <c r="F61" s="549" t="str">
        <f aca="false">IF(ABS(E61)&lt;1,"✓ EXACT MATCH","⚠ check")</f>
        <v>✓ EXACT MATCH</v>
      </c>
    </row>
    <row r="62" customFormat="false" ht="15" hidden="false" customHeight="true" outlineLevel="0" collapsed="false">
      <c r="B62" s="113" t="s">
        <v>219</v>
      </c>
      <c r="C62" s="547" t="n">
        <f aca="false">'Esports · Revenue'!E12</f>
        <v>693656.4</v>
      </c>
      <c r="D62" s="547" t="n">
        <f aca="false">'Master Revenue'!H10</f>
        <v>693656.4</v>
      </c>
      <c r="E62" s="548" t="n">
        <f aca="false">C62-D62</f>
        <v>0</v>
      </c>
      <c r="F62" s="549" t="str">
        <f aca="false">IF(ABS(E62)&lt;1,"✓ EXACT MATCH","⚠ check")</f>
        <v>✓ EXACT MATCH</v>
      </c>
    </row>
    <row r="63" customFormat="false" ht="15" hidden="false" customHeight="true" outlineLevel="0" collapsed="false">
      <c r="B63" s="113" t="s">
        <v>151</v>
      </c>
      <c r="C63" s="547" t="n">
        <f aca="false">'Museum · Revenue'!E24</f>
        <v>488873.1</v>
      </c>
      <c r="D63" s="547" t="n">
        <f aca="false">'Master Revenue'!H11</f>
        <v>488873.1</v>
      </c>
      <c r="E63" s="548" t="n">
        <f aca="false">C63-D63</f>
        <v>0</v>
      </c>
      <c r="F63" s="549" t="str">
        <f aca="false">IF(ABS(E63)&lt;1,"✓ EXACT MATCH","⚠ check")</f>
        <v>✓ EXACT MATCH</v>
      </c>
    </row>
    <row r="64" customFormat="false" ht="15" hidden="false" customHeight="true" outlineLevel="0" collapsed="false">
      <c r="B64" s="439" t="s">
        <v>1702</v>
      </c>
      <c r="C64" s="440" t="n">
        <f aca="false">SUM(C59:C63)</f>
        <v>4984807.85</v>
      </c>
      <c r="D64" s="440" t="n">
        <f aca="false">SUM(D59:D63)</f>
        <v>4984807.85</v>
      </c>
      <c r="E64" s="550" t="n">
        <f aca="false">C64-D64</f>
        <v>0</v>
      </c>
      <c r="F64" s="6"/>
    </row>
    <row r="65" customFormat="false" ht="15" hidden="false" customHeight="true" outlineLevel="0" collapsed="false">
      <c r="B65" s="6"/>
      <c r="F65" s="6"/>
    </row>
    <row r="66" customFormat="false" ht="15" hidden="false" customHeight="true" outlineLevel="0" collapsed="false">
      <c r="B66" s="6"/>
      <c r="F66" s="6"/>
    </row>
    <row r="67" customFormat="false" ht="21.75" hidden="false" customHeight="true" outlineLevel="0" collapsed="false">
      <c r="B67" s="43" t="s">
        <v>1711</v>
      </c>
      <c r="C67" s="43"/>
      <c r="D67" s="43"/>
      <c r="E67" s="43"/>
      <c r="F67" s="43"/>
    </row>
    <row r="68" customFormat="false" ht="216" hidden="false" customHeight="true" outlineLevel="0" collapsed="false">
      <c r="B68" s="134" t="s">
        <v>1712</v>
      </c>
      <c r="C68" s="134"/>
      <c r="D68" s="134"/>
      <c r="E68" s="134"/>
      <c r="F68" s="134"/>
    </row>
  </sheetData>
  <mergeCells count="12">
    <mergeCell ref="B2:F2"/>
    <mergeCell ref="G2:I2"/>
    <mergeCell ref="B3:I3"/>
    <mergeCell ref="B5:I5"/>
    <mergeCell ref="B7:I7"/>
    <mergeCell ref="B17:I17"/>
    <mergeCell ref="B27:I27"/>
    <mergeCell ref="B37:I37"/>
    <mergeCell ref="B47:I47"/>
    <mergeCell ref="B57:I57"/>
    <mergeCell ref="B67:F67"/>
    <mergeCell ref="B68:F68"/>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917" t="s">
        <v>4334</v>
      </c>
      <c r="C2" s="917"/>
      <c r="D2" s="917"/>
      <c r="E2" s="917"/>
      <c r="F2" s="917"/>
      <c r="G2" s="89" t="s">
        <v>3432</v>
      </c>
      <c r="H2" s="89"/>
      <c r="I2" s="89"/>
      <c r="J2" s="89"/>
    </row>
    <row r="3" customFormat="false" ht="18" hidden="false" customHeight="true" outlineLevel="0" collapsed="false">
      <c r="B3" s="90" t="s">
        <v>6753</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8145</v>
      </c>
      <c r="C7" s="598" t="n">
        <f aca="false">'Sponsorships · Drivers'!C7*'Sponsorships · Drivers'!C8*'Sponsorships · Drivers'!C9</f>
        <v>28291.23</v>
      </c>
      <c r="D7" s="544" t="n">
        <f aca="false">'Sponsorships · Drivers'!D7*'Sponsorships · Drivers'!D8*'Sponsorships · Drivers'!D9</f>
        <v>49500</v>
      </c>
      <c r="E7" s="1311" t="n">
        <f aca="false">'Sponsorships · Drivers'!E7*'Sponsorships · Drivers'!E8*'Sponsorships · Drivers'!E9</f>
        <v>59895</v>
      </c>
      <c r="F7" s="692" t="n">
        <f aca="false">E7/IF(C7=0,1,C7)</f>
        <v>2.11708716800224</v>
      </c>
    </row>
    <row r="8" customFormat="false" ht="15" hidden="false" customHeight="true" outlineLevel="0" collapsed="false">
      <c r="B8" s="113" t="s">
        <v>8226</v>
      </c>
      <c r="C8" s="598" t="n">
        <f aca="false">'Sponsorships · Drivers'!C11*'Sponsorships · Drivers'!C12*'Sponsorships · Drivers'!C13</f>
        <v>45437.43</v>
      </c>
      <c r="D8" s="544" t="n">
        <f aca="false">'Sponsorships · Drivers'!D11*'Sponsorships · Drivers'!D12*'Sponsorships · Drivers'!D13</f>
        <v>79500</v>
      </c>
      <c r="E8" s="1311" t="n">
        <f aca="false">'Sponsorships · Drivers'!E11*'Sponsorships · Drivers'!E12*'Sponsorships · Drivers'!E13</f>
        <v>96195</v>
      </c>
      <c r="F8" s="692" t="n">
        <f aca="false">E8/IF(C8=0,1,C8)</f>
        <v>2.11708716800224</v>
      </c>
    </row>
    <row r="9" customFormat="false" ht="15" hidden="false" customHeight="true" outlineLevel="0" collapsed="false">
      <c r="B9" s="113" t="s">
        <v>8227</v>
      </c>
      <c r="C9" s="598" t="n">
        <f aca="false">'Sponsorships · Drivers'!C15*'Sponsorships · Drivers'!C16*'Sponsorships · Drivers'!C17</f>
        <v>33149.32</v>
      </c>
      <c r="D9" s="544" t="n">
        <f aca="false">'Sponsorships · Drivers'!D15*'Sponsorships · Drivers'!D16*'Sponsorships · Drivers'!D17</f>
        <v>58000</v>
      </c>
      <c r="E9" s="1311" t="n">
        <f aca="false">'Sponsorships · Drivers'!E15*'Sponsorships · Drivers'!E16*'Sponsorships · Drivers'!E17</f>
        <v>77198</v>
      </c>
      <c r="F9" s="692" t="n">
        <f aca="false">E9/IF(C9=0,1,C9)</f>
        <v>2.32879588480246</v>
      </c>
    </row>
    <row r="10" customFormat="false" ht="15" hidden="false" customHeight="true" outlineLevel="0" collapsed="false">
      <c r="B10" s="113" t="s">
        <v>8228</v>
      </c>
      <c r="C10" s="598" t="n">
        <f aca="false">('Sponsorships · Drivers'!C19*'Sponsorships · Drivers'!C20*'Sponsorships · Drivers'!C21)+('Sponsorships · Drivers'!C23*'Sponsorships · Drivers'!C24*'Sponsorships · Drivers'!C25)</f>
        <v>59171.2</v>
      </c>
      <c r="D10" s="544" t="n">
        <f aca="false">('Sponsorships · Drivers'!D19*'Sponsorships · Drivers'!D20*'Sponsorships · Drivers'!D21)+('Sponsorships · Drivers'!D23*'Sponsorships · Drivers'!D24*'Sponsorships · Drivers'!D25)</f>
        <v>100000</v>
      </c>
      <c r="E10" s="1311" t="n">
        <f aca="false">('Sponsorships · Drivers'!E19*'Sponsorships · Drivers'!E20*'Sponsorships · Drivers'!E21)+('Sponsorships · Drivers'!E23*'Sponsorships · Drivers'!E24*'Sponsorships · Drivers'!E25)</f>
        <v>130680</v>
      </c>
      <c r="F10" s="692" t="n">
        <f aca="false">E10/IF(C10=0,1,C10)</f>
        <v>2.20850684116597</v>
      </c>
    </row>
    <row r="11" customFormat="false" ht="15" hidden="false" customHeight="true" outlineLevel="0" collapsed="false">
      <c r="B11" s="113" t="s">
        <v>4983</v>
      </c>
      <c r="C11" s="1371" t="n">
        <f aca="false">'Sponsorships · Drivers'!C7*'Sponsorships · Drivers'!C8*'Sponsorships · Drivers'!C9+'Sponsorships · Drivers'!C11*'Sponsorships · Drivers'!C12*'Sponsorships · Drivers'!C13+'Sponsorships · Drivers'!C15*'Sponsorships · Drivers'!C16*'Sponsorships · Drivers'!C17+('Sponsorships · Drivers'!C19*'Sponsorships · Drivers'!C20*'Sponsorships · Drivers'!C21)+('Sponsorships · Drivers'!C23*'Sponsorships · Drivers'!C24*'Sponsorships · Drivers'!C25)</f>
        <v>166049.18</v>
      </c>
      <c r="D11" s="406" t="n">
        <f aca="false">'Sponsorships · Drivers'!D7*'Sponsorships · Drivers'!D8*'Sponsorships · Drivers'!D9+'Sponsorships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287000</v>
      </c>
      <c r="E11" s="1402" t="n">
        <f aca="false">'Sponsorships · Drivers'!E7*'Sponsorships · Drivers'!E8*'Sponsorships · Drivers'!E9+'Sponsorships · Drivers'!E11*'Sponsorships · Drivers'!E12*'Sponsorships · Drivers'!E13+'Sponsorships · Drivers'!E15*'Sponsorships · Drivers'!E16*'Sponsorships · Drivers'!E17+('Sponsorships · Drivers'!E19*'Sponsorships · Drivers'!E20*'Sponsorships · Drivers'!E21)+('Sponsorships · Drivers'!E23*'Sponsorships · Drivers'!E24*'Sponsorships · Drivers'!E25)</f>
        <v>363968</v>
      </c>
      <c r="F11" s="692" t="n">
        <f aca="false">E11/IF(C11=0,1,C11)</f>
        <v>2.1919289212991</v>
      </c>
    </row>
    <row r="12" customFormat="false" ht="15" hidden="false" customHeight="true" outlineLevel="0" collapsed="false">
      <c r="B12" s="6"/>
      <c r="F12" s="6"/>
    </row>
    <row r="13" customFormat="false" ht="15" hidden="false" customHeight="true" outlineLevel="0" collapsed="false">
      <c r="B13" s="6"/>
      <c r="F13" s="6"/>
    </row>
    <row r="14" customFormat="false" ht="21.75" hidden="false" customHeight="true" outlineLevel="0" collapsed="false">
      <c r="B14" s="96" t="s">
        <v>2447</v>
      </c>
      <c r="C14" s="96"/>
      <c r="D14" s="96"/>
      <c r="E14" s="96"/>
      <c r="F14" s="96"/>
      <c r="G14" s="96"/>
      <c r="H14" s="96"/>
    </row>
    <row r="15" customFormat="false" ht="15" hidden="false" customHeight="true" outlineLevel="0" collapsed="false">
      <c r="B15" s="97" t="s">
        <v>738</v>
      </c>
      <c r="C15" s="98" t="s">
        <v>962</v>
      </c>
      <c r="D15" s="98" t="s">
        <v>207</v>
      </c>
      <c r="E15" s="98" t="s">
        <v>2448</v>
      </c>
      <c r="F15" s="6"/>
    </row>
    <row r="16" customFormat="false" ht="15" hidden="false" customHeight="true" outlineLevel="0" collapsed="false">
      <c r="B16" s="113" t="s">
        <v>2449</v>
      </c>
      <c r="C16" s="696" t="n">
        <v>0.2</v>
      </c>
      <c r="D16" s="1316" t="n">
        <f aca="false">C11</f>
        <v>166049.18</v>
      </c>
      <c r="E16" s="544" t="n">
        <f aca="false">C16*D16</f>
        <v>33209.836</v>
      </c>
      <c r="F16" s="6"/>
    </row>
    <row r="17" customFormat="false" ht="15" hidden="false" customHeight="true" outlineLevel="0" collapsed="false">
      <c r="B17" s="113" t="s">
        <v>2283</v>
      </c>
      <c r="C17" s="696" t="n">
        <v>0.55</v>
      </c>
      <c r="D17" s="1316" t="n">
        <f aca="false">D11</f>
        <v>287000</v>
      </c>
      <c r="E17" s="544" t="n">
        <f aca="false">C17*D17</f>
        <v>157850</v>
      </c>
      <c r="F17" s="6"/>
    </row>
    <row r="18" customFormat="false" ht="15" hidden="false" customHeight="true" outlineLevel="0" collapsed="false">
      <c r="B18" s="113" t="s">
        <v>2450</v>
      </c>
      <c r="C18" s="696" t="n">
        <v>0.25</v>
      </c>
      <c r="D18" s="1316" t="n">
        <f aca="false">E11</f>
        <v>363968</v>
      </c>
      <c r="E18" s="544" t="n">
        <f aca="false">C18*D18</f>
        <v>90992</v>
      </c>
      <c r="F18" s="6"/>
    </row>
    <row r="19" customFormat="false" ht="15" hidden="false" customHeight="true" outlineLevel="0" collapsed="false">
      <c r="B19" s="6" t="s">
        <v>342</v>
      </c>
      <c r="C19" s="698" t="n">
        <f aca="false">SUM(C16:C18)</f>
        <v>1</v>
      </c>
      <c r="F19" s="6"/>
    </row>
    <row r="20" customFormat="false" ht="15" hidden="false" customHeight="true" outlineLevel="0" collapsed="false">
      <c r="B20" s="6"/>
      <c r="F20" s="6"/>
    </row>
    <row r="21" customFormat="false" ht="27.75" hidden="false" customHeight="true" outlineLevel="0" collapsed="false">
      <c r="B21" s="699" t="s">
        <v>5179</v>
      </c>
      <c r="E21" s="578" t="n">
        <f aca="false">SUM(E16:E18)</f>
        <v>282051.836</v>
      </c>
      <c r="F21" s="6"/>
    </row>
  </sheetData>
  <mergeCells count="5">
    <mergeCell ref="B2:F2"/>
    <mergeCell ref="G2:J2"/>
    <mergeCell ref="B3:J3"/>
    <mergeCell ref="B5:H5"/>
    <mergeCell ref="B14:H14"/>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7221</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8229</v>
      </c>
      <c r="C8" s="360" t="n">
        <f aca="false">('Sponsorships · Drivers'!D7*'Sponsorships · Drivers'!D8*UNIVERSAL_DRIVERS!$C$33*'Sponsorships · Drivers'!D9)+('Sponsorships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277100</v>
      </c>
      <c r="D8" s="1280" t="n">
        <f aca="false">('Sponsorships · Drivers'!D7*'Sponsorships · Drivers'!D8*UNIVERSAL_DRIVERS!$C$34*'Sponsorships · Drivers'!D9)+('Sponsorships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282050</v>
      </c>
      <c r="E8" s="1319" t="n">
        <f aca="false">('Sponsorships · Drivers'!D7*'Sponsorships · Drivers'!D8*1*'Sponsorships · Drivers'!D9)+('Sponsorships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287000</v>
      </c>
      <c r="F8" s="1320" t="n">
        <f aca="false">('Sponsorships · Drivers'!D7*'Sponsorships · Drivers'!D8*1.1*'Sponsorships · Drivers'!D9)+('Sponsorships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291950</v>
      </c>
      <c r="G8" s="1321" t="n">
        <f aca="false">('Sponsorships · Drivers'!D7*'Sponsorships · Drivers'!D8*1.2*'Sponsorships · Drivers'!D9)+('Sponsorships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296900</v>
      </c>
    </row>
    <row r="9" customFormat="false" ht="120" hidden="false" customHeight="true" outlineLevel="0" collapsed="false">
      <c r="B9" s="113" t="s">
        <v>8230</v>
      </c>
      <c r="C9" s="360" t="n">
        <f aca="false">('Sponsorships · Drivers'!D7*'Sponsorships · Drivers'!D8*'Sponsorships · Drivers'!D9)+('Sponsorships · Drivers'!D11*'Sponsorships · Drivers'!D12*UNIVERSAL_DRIVERS!$C$33*'Sponsorships · Drivers'!D13)+('Sponsorships · Drivers'!D15*'Sponsorships · Drivers'!D16*'Sponsorships · Drivers'!D17)+('Sponsorships · Drivers'!D19*'Sponsorships · Drivers'!D20*'Sponsorships · Drivers'!D21)+('Sponsorships · Drivers'!D23*'Sponsorships · Drivers'!D24*'Sponsorships · Drivers'!D25)</f>
        <v>271100</v>
      </c>
      <c r="D9" s="1280" t="n">
        <f aca="false">('Sponsorships · Drivers'!D7*'Sponsorships · Drivers'!D8*'Sponsorships · Drivers'!D9)+('Sponsorships · Drivers'!D11*'Sponsorships · Drivers'!D12*UNIVERSAL_DRIVERS!$C$34*'Sponsorships · Drivers'!D13)+('Sponsorships · Drivers'!D15*'Sponsorships · Drivers'!D16*'Sponsorships · Drivers'!D17)+('Sponsorships · Drivers'!D19*'Sponsorships · Drivers'!D20*'Sponsorships · Drivers'!D21)+('Sponsorships · Drivers'!D23*'Sponsorships · Drivers'!D24*'Sponsorships · Drivers'!D25)</f>
        <v>279050</v>
      </c>
      <c r="E9" s="1319" t="n">
        <f aca="false">('Sponsorships · Drivers'!D7*'Sponsorships · Drivers'!D8*'Sponsorships · Drivers'!D9)+('Sponsorships · Drivers'!D11*'Sponsorships · Drivers'!D12*1*'Sponsorships · Drivers'!D13)+('Sponsorships · Drivers'!D15*'Sponsorships · Drivers'!D16*'Sponsorships · Drivers'!D17)+('Sponsorships · Drivers'!D19*'Sponsorships · Drivers'!D20*'Sponsorships · Drivers'!D21)+('Sponsorships · Drivers'!D23*'Sponsorships · Drivers'!D24*'Sponsorships · Drivers'!D25)</f>
        <v>287000</v>
      </c>
      <c r="F9" s="1320" t="n">
        <f aca="false">('Sponsorships · Drivers'!D7*'Sponsorships · Drivers'!D8*'Sponsorships · Drivers'!D9)+('Sponsorships · Drivers'!D11*'Sponsorships · Drivers'!D12*1.1*'Sponsorships · Drivers'!D13)+('Sponsorships · Drivers'!D15*'Sponsorships · Drivers'!D16*'Sponsorships · Drivers'!D17)+('Sponsorships · Drivers'!D19*'Sponsorships · Drivers'!D20*'Sponsorships · Drivers'!D21)+('Sponsorships · Drivers'!D23*'Sponsorships · Drivers'!D24*'Sponsorships · Drivers'!D25)</f>
        <v>294950</v>
      </c>
      <c r="G9" s="1321" t="n">
        <f aca="false">('Sponsorships · Drivers'!D7*'Sponsorships · Drivers'!D8*'Sponsorships · Drivers'!D9)+('Sponsorships · Drivers'!D11*'Sponsorships · Drivers'!D12*1.2*'Sponsorships · Drivers'!D13)+('Sponsorships · Drivers'!D15*'Sponsorships · Drivers'!D16*'Sponsorships · Drivers'!D17)+('Sponsorships · Drivers'!D19*'Sponsorships · Drivers'!D20*'Sponsorships · Drivers'!D21)+('Sponsorships · Drivers'!D23*'Sponsorships · Drivers'!D24*'Sponsorships · Drivers'!D25)</f>
        <v>302900</v>
      </c>
    </row>
    <row r="10" customFormat="false" ht="120" hidden="false" customHeight="true" outlineLevel="0" collapsed="false">
      <c r="B10" s="113" t="s">
        <v>8231</v>
      </c>
      <c r="C10" s="360" t="n">
        <f aca="false">('Sponsorships · Drivers'!D7*'Sponsorships · Drivers'!D8*'Sponsorships · Drivers'!D9)+('Sponsorships · Drivers'!D11*'Sponsorships · Drivers'!D12*'Sponsorships · Drivers'!D13)+('Sponsorships · Drivers'!D15*'Sponsorships · Drivers'!D16*UNIVERSAL_DRIVERS!$C$33*'Sponsorships · Drivers'!D17)+('Sponsorships · Drivers'!D19*'Sponsorships · Drivers'!D20*'Sponsorships · Drivers'!D21)+('Sponsorships · Drivers'!D23*'Sponsorships · Drivers'!D24*'Sponsorships · Drivers'!D25)</f>
        <v>275400</v>
      </c>
      <c r="D10" s="1280" t="n">
        <f aca="false">('Sponsorships · Drivers'!D7*'Sponsorships · Drivers'!D8*'Sponsorships · Drivers'!D9)+('Sponsorships · Drivers'!D11*'Sponsorships · Drivers'!D12*'Sponsorships · Drivers'!D13)+('Sponsorships · Drivers'!D15*'Sponsorships · Drivers'!D16*UNIVERSAL_DRIVERS!$C$34*'Sponsorships · Drivers'!D17)+('Sponsorships · Drivers'!D19*'Sponsorships · Drivers'!D20*'Sponsorships · Drivers'!D21)+('Sponsorships · Drivers'!D23*'Sponsorships · Drivers'!D24*'Sponsorships · Drivers'!D25)</f>
        <v>281200</v>
      </c>
      <c r="E10" s="1319" t="n">
        <f aca="false">('Sponsorships · Drivers'!D7*'Sponsorships · Drivers'!D8*'Sponsorships · Drivers'!D9)+('Sponsorships · Drivers'!D11*'Sponsorships · Drivers'!D12*'Sponsorships · Drivers'!D13)+('Sponsorships · Drivers'!D15*'Sponsorships · Drivers'!D16*1*'Sponsorships · Drivers'!D17)+('Sponsorships · Drivers'!D19*'Sponsorships · Drivers'!D20*'Sponsorships · Drivers'!D21)+('Sponsorships · Drivers'!D23*'Sponsorships · Drivers'!D24*'Sponsorships · Drivers'!D25)</f>
        <v>287000</v>
      </c>
      <c r="F10" s="1320" t="n">
        <f aca="false">('Sponsorships · Drivers'!D7*'Sponsorships · Drivers'!D8*'Sponsorships · Drivers'!D9)+('Sponsorships · Drivers'!D11*'Sponsorships · Drivers'!D12*'Sponsorships · Drivers'!D13)+('Sponsorships · Drivers'!D15*'Sponsorships · Drivers'!D16*1.1*'Sponsorships · Drivers'!D17)+('Sponsorships · Drivers'!D19*'Sponsorships · Drivers'!D20*'Sponsorships · Drivers'!D21)+('Sponsorships · Drivers'!D23*'Sponsorships · Drivers'!D24*'Sponsorships · Drivers'!D25)</f>
        <v>292800</v>
      </c>
      <c r="G10" s="1321" t="n">
        <f aca="false">('Sponsorships · Drivers'!D7*'Sponsorships · Drivers'!D8*'Sponsorships · Drivers'!D9)+('Sponsorships · Drivers'!D11*'Sponsorships · Drivers'!D12*'Sponsorships · Drivers'!D13)+('Sponsorships · Drivers'!D15*'Sponsorships · Drivers'!D16*1.2*'Sponsorships · Drivers'!D17)+('Sponsorships · Drivers'!D19*'Sponsorships · Drivers'!D20*'Sponsorships · Drivers'!D21)+('Sponsorships · Drivers'!D23*'Sponsorships · Drivers'!D24*'Sponsorships · Drivers'!D25)</f>
        <v>298600</v>
      </c>
    </row>
    <row r="11" customFormat="false" ht="120" hidden="false" customHeight="true" outlineLevel="0" collapsed="false">
      <c r="B11" s="113" t="s">
        <v>8232</v>
      </c>
      <c r="C11" s="360" t="n">
        <f aca="false">('Sponsorships · Drivers'!D7*'Sponsorships · Drivers'!D8*'Sponsorships · Drivers'!D9)+('Sponsorships · Drivers'!D11*'Sponsorships · Drivers'!D12*'Sponsorships · Drivers'!D13)+('Sponsorships · Drivers'!D15*'Sponsorships · Drivers'!D16*'Sponsorships · Drivers'!D17)+('Sponsorships · Drivers'!D19*'Sponsorships · Drivers'!D20*UNIVERSAL_DRIVERS!$C$33*'Sponsorships · Drivers'!D21)+('Sponsorships · Drivers'!D23*'Sponsorships · Drivers'!D24*'Sponsorships · Drivers'!D25)</f>
        <v>277400</v>
      </c>
      <c r="D11" s="1280" t="n">
        <f aca="false">('Sponsorships · Drivers'!D7*'Sponsorships · Drivers'!D8*'Sponsorships · Drivers'!D9)+('Sponsorships · Drivers'!D11*'Sponsorships · Drivers'!D12*'Sponsorships · Drivers'!D13)+('Sponsorships · Drivers'!D15*'Sponsorships · Drivers'!D16*'Sponsorships · Drivers'!D17)+('Sponsorships · Drivers'!D19*'Sponsorships · Drivers'!D20*UNIVERSAL_DRIVERS!$C$34*'Sponsorships · Drivers'!D21)+('Sponsorships · Drivers'!D23*'Sponsorships · Drivers'!D24*'Sponsorships · Drivers'!D25)</f>
        <v>282200</v>
      </c>
      <c r="E11" s="1319" t="n">
        <f aca="false">('Sponsorships · Drivers'!D7*'Sponsorships · Drivers'!D8*'Sponsorships · Drivers'!D9)+('Sponsorships · Drivers'!D11*'Sponsorships · Drivers'!D12*'Sponsorships · Drivers'!D13)+('Sponsorships · Drivers'!D15*'Sponsorships · Drivers'!D16*'Sponsorships · Drivers'!D17)+('Sponsorships · Drivers'!D19*'Sponsorships · Drivers'!D20*1*'Sponsorships · Drivers'!D21)+('Sponsorships · Drivers'!D23*'Sponsorships · Drivers'!D24*'Sponsorships · Drivers'!D25)</f>
        <v>287000</v>
      </c>
      <c r="F11" s="1320" t="n">
        <f aca="false">('Sponsorships · Drivers'!D7*'Sponsorships · Drivers'!D8*'Sponsorships · Drivers'!D9)+('Sponsorships · Drivers'!D11*'Sponsorships · Drivers'!D12*'Sponsorships · Drivers'!D13)+('Sponsorships · Drivers'!D15*'Sponsorships · Drivers'!D16*'Sponsorships · Drivers'!D17)+('Sponsorships · Drivers'!D19*'Sponsorships · Drivers'!D20*1.1*'Sponsorships · Drivers'!D21)+('Sponsorships · Drivers'!D23*'Sponsorships · Drivers'!D24*'Sponsorships · Drivers'!D25)</f>
        <v>291800</v>
      </c>
      <c r="G11" s="1321" t="n">
        <f aca="false">('Sponsorships · Drivers'!D7*'Sponsorships · Drivers'!D8*'Sponsorships · Drivers'!D9)+('Sponsorships · Drivers'!D11*'Sponsorships · Drivers'!D12*'Sponsorships · Drivers'!D13)+('Sponsorships · Drivers'!D15*'Sponsorships · Drivers'!D16*'Sponsorships · Drivers'!D17)+('Sponsorships · Drivers'!D19*'Sponsorships · Drivers'!D20*1.2*'Sponsorships · Drivers'!D21)+('Sponsorships · Drivers'!D23*'Sponsorships · Drivers'!D24*'Sponsorships · Drivers'!D25)</f>
        <v>296600</v>
      </c>
    </row>
    <row r="12" customFormat="false" ht="120" hidden="false" customHeight="true" outlineLevel="0" collapsed="false">
      <c r="B12" s="113" t="s">
        <v>8233</v>
      </c>
      <c r="C12" s="360" t="n">
        <f aca="false">('Sponsorships · Drivers'!D7*'Sponsorships · Drivers'!D8*'Sponsorships · Drivers'!D9*UNIVERSAL_DRIVERS!$C$33)+('Sponsorships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277100</v>
      </c>
      <c r="D12" s="1280" t="n">
        <f aca="false">('Sponsorships · Drivers'!D7*'Sponsorships · Drivers'!D8*'Sponsorships · Drivers'!D9*UNIVERSAL_DRIVERS!$C$34)+('Sponsorships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282050</v>
      </c>
      <c r="E12" s="1319" t="n">
        <f aca="false">('Sponsorships · Drivers'!D7*'Sponsorships · Drivers'!D8*'Sponsorships · Drivers'!D9*1)+('Sponsorships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287000</v>
      </c>
      <c r="F12" s="1320" t="n">
        <f aca="false">('Sponsorships · Drivers'!D7*'Sponsorships · Drivers'!D8*'Sponsorships · Drivers'!D9*1.1)+('Sponsorships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291950</v>
      </c>
      <c r="G12" s="1321" t="n">
        <f aca="false">('Sponsorships · Drivers'!D7*'Sponsorships · Drivers'!D8*'Sponsorships · Drivers'!D9*1.2)+('Sponsorships · Drivers'!D11*'Sponsorships · Drivers'!D12*'Sponsorships · Drivers'!D13)+('Sponsorships · Drivers'!D15*'Sponsorships · Drivers'!D16*'Sponsorships · Drivers'!D17)+('Sponsorships · Drivers'!D19*'Sponsorships · Drivers'!D20*'Sponsorships · Drivers'!D21)+('Sponsorships · Drivers'!D23*'Sponsorships · Drivers'!D24*'Sponsorships · Drivers'!D25)</f>
        <v>296900</v>
      </c>
    </row>
    <row r="13" customFormat="false" ht="120" hidden="false" customHeight="true" outlineLevel="0" collapsed="false">
      <c r="B13" s="113" t="s">
        <v>8234</v>
      </c>
      <c r="C13" s="360" t="n">
        <f aca="false">('Sponsorships · Drivers'!D7*'Sponsorships · Drivers'!D8*'Sponsorships · Drivers'!D9)+('Sponsorships · Drivers'!D11*'Sponsorships · Drivers'!D12*'Sponsorships · Drivers'!D13*UNIVERSAL_DRIVERS!$C$33)+('Sponsorships · Drivers'!D15*'Sponsorships · Drivers'!D16*'Sponsorships · Drivers'!D17)+('Sponsorships · Drivers'!D19*'Sponsorships · Drivers'!D20*'Sponsorships · Drivers'!D21)+('Sponsorships · Drivers'!D23*'Sponsorships · Drivers'!D24*'Sponsorships · Drivers'!D25)</f>
        <v>271100</v>
      </c>
      <c r="D13" s="1280" t="n">
        <f aca="false">('Sponsorships · Drivers'!D7*'Sponsorships · Drivers'!D8*'Sponsorships · Drivers'!D9)+('Sponsorships · Drivers'!D11*'Sponsorships · Drivers'!D12*'Sponsorships · Drivers'!D13*UNIVERSAL_DRIVERS!$C$34)+('Sponsorships · Drivers'!D15*'Sponsorships · Drivers'!D16*'Sponsorships · Drivers'!D17)+('Sponsorships · Drivers'!D19*'Sponsorships · Drivers'!D20*'Sponsorships · Drivers'!D21)+('Sponsorships · Drivers'!D23*'Sponsorships · Drivers'!D24*'Sponsorships · Drivers'!D25)</f>
        <v>279050</v>
      </c>
      <c r="E13" s="1319" t="n">
        <f aca="false">('Sponsorships · Drivers'!D7*'Sponsorships · Drivers'!D8*'Sponsorships · Drivers'!D9)+('Sponsorships · Drivers'!D11*'Sponsorships · Drivers'!D12*'Sponsorships · Drivers'!D13*1)+('Sponsorships · Drivers'!D15*'Sponsorships · Drivers'!D16*'Sponsorships · Drivers'!D17)+('Sponsorships · Drivers'!D19*'Sponsorships · Drivers'!D20*'Sponsorships · Drivers'!D21)+('Sponsorships · Drivers'!D23*'Sponsorships · Drivers'!D24*'Sponsorships · Drivers'!D25)</f>
        <v>287000</v>
      </c>
      <c r="F13" s="1320" t="n">
        <f aca="false">('Sponsorships · Drivers'!D7*'Sponsorships · Drivers'!D8*'Sponsorships · Drivers'!D9)+('Sponsorships · Drivers'!D11*'Sponsorships · Drivers'!D12*'Sponsorships · Drivers'!D13*1.1)+('Sponsorships · Drivers'!D15*'Sponsorships · Drivers'!D16*'Sponsorships · Drivers'!D17)+('Sponsorships · Drivers'!D19*'Sponsorships · Drivers'!D20*'Sponsorships · Drivers'!D21)+('Sponsorships · Drivers'!D23*'Sponsorships · Drivers'!D24*'Sponsorships · Drivers'!D25)</f>
        <v>294950</v>
      </c>
      <c r="G13" s="1321" t="n">
        <f aca="false">('Sponsorships · Drivers'!D7*'Sponsorships · Drivers'!D8*'Sponsorships · Drivers'!D9)+('Sponsorships · Drivers'!D11*'Sponsorships · Drivers'!D12*'Sponsorships · Drivers'!D13*1.2)+('Sponsorships · Drivers'!D15*'Sponsorships · Drivers'!D16*'Sponsorships · Drivers'!D17)+('Sponsorships · Drivers'!D19*'Sponsorships · Drivers'!D20*'Sponsorships · Drivers'!D21)+('Sponsorships · Drivers'!D23*'Sponsorships · Drivers'!D24*'Sponsorships · Drivers'!D25)</f>
        <v>302900</v>
      </c>
    </row>
    <row r="14" customFormat="false" ht="120" hidden="false" customHeight="true" outlineLevel="0" collapsed="false">
      <c r="B14" s="113" t="s">
        <v>8235</v>
      </c>
      <c r="C14" s="360" t="n">
        <f aca="false">('Sponsorships · Drivers'!D7*'Sponsorships · Drivers'!D8*'Sponsorships · Drivers'!D9)+('Sponsorships · Drivers'!D11*'Sponsorships · Drivers'!D12*'Sponsorships · Drivers'!D13)+('Sponsorships · Drivers'!D15*'Sponsorships · Drivers'!D16*'Sponsorships · Drivers'!D17*UNIVERSAL_DRIVERS!$C$33)+('Sponsorships · Drivers'!D19*'Sponsorships · Drivers'!D20*'Sponsorships · Drivers'!D21)+('Sponsorships · Drivers'!D23*'Sponsorships · Drivers'!D24*'Sponsorships · Drivers'!D25)</f>
        <v>275400</v>
      </c>
      <c r="D14" s="1280" t="n">
        <f aca="false">('Sponsorships · Drivers'!D7*'Sponsorships · Drivers'!D8*'Sponsorships · Drivers'!D9)+('Sponsorships · Drivers'!D11*'Sponsorships · Drivers'!D12*'Sponsorships · Drivers'!D13)+('Sponsorships · Drivers'!D15*'Sponsorships · Drivers'!D16*'Sponsorships · Drivers'!D17*UNIVERSAL_DRIVERS!$C$34)+('Sponsorships · Drivers'!D19*'Sponsorships · Drivers'!D20*'Sponsorships · Drivers'!D21)+('Sponsorships · Drivers'!D23*'Sponsorships · Drivers'!D24*'Sponsorships · Drivers'!D25)</f>
        <v>281200</v>
      </c>
      <c r="E14" s="1319" t="n">
        <f aca="false">('Sponsorships · Drivers'!D7*'Sponsorships · Drivers'!D8*'Sponsorships · Drivers'!D9)+('Sponsorships · Drivers'!D11*'Sponsorships · Drivers'!D12*'Sponsorships · Drivers'!D13)+('Sponsorships · Drivers'!D15*'Sponsorships · Drivers'!D16*'Sponsorships · Drivers'!D17*1)+('Sponsorships · Drivers'!D19*'Sponsorships · Drivers'!D20*'Sponsorships · Drivers'!D21)+('Sponsorships · Drivers'!D23*'Sponsorships · Drivers'!D24*'Sponsorships · Drivers'!D25)</f>
        <v>287000</v>
      </c>
      <c r="F14" s="1320" t="n">
        <f aca="false">('Sponsorships · Drivers'!D7*'Sponsorships · Drivers'!D8*'Sponsorships · Drivers'!D9)+('Sponsorships · Drivers'!D11*'Sponsorships · Drivers'!D12*'Sponsorships · Drivers'!D13)+('Sponsorships · Drivers'!D15*'Sponsorships · Drivers'!D16*'Sponsorships · Drivers'!D17*1.1)+('Sponsorships · Drivers'!D19*'Sponsorships · Drivers'!D20*'Sponsorships · Drivers'!D21)+('Sponsorships · Drivers'!D23*'Sponsorships · Drivers'!D24*'Sponsorships · Drivers'!D25)</f>
        <v>292800</v>
      </c>
      <c r="G14" s="1321" t="n">
        <f aca="false">('Sponsorships · Drivers'!D7*'Sponsorships · Drivers'!D8*'Sponsorships · Drivers'!D9)+('Sponsorships · Drivers'!D11*'Sponsorships · Drivers'!D12*'Sponsorships · Drivers'!D13)+('Sponsorships · Drivers'!D15*'Sponsorships · Drivers'!D16*'Sponsorships · Drivers'!D17*1.2)+('Sponsorships · Drivers'!D19*'Sponsorships · Drivers'!D20*'Sponsorships · Drivers'!D21)+('Sponsorships · Drivers'!D23*'Sponsorships · Drivers'!D24*'Sponsorships · Drivers'!D25)</f>
        <v>298600</v>
      </c>
    </row>
    <row r="15" customFormat="false" ht="15" hidden="false" customHeight="true" outlineLevel="0" collapsed="false">
      <c r="B15" s="6"/>
      <c r="F15" s="6"/>
    </row>
    <row r="16" customFormat="false" ht="15" hidden="false" customHeight="true" outlineLevel="0" collapsed="false">
      <c r="B16" s="6"/>
      <c r="F16" s="6"/>
    </row>
    <row r="17" customFormat="false" ht="21.75" hidden="false" customHeight="true" outlineLevel="0" collapsed="false">
      <c r="B17" s="304" t="s">
        <v>2343</v>
      </c>
      <c r="C17" s="304"/>
      <c r="D17" s="304"/>
      <c r="E17" s="304"/>
      <c r="F17" s="304"/>
      <c r="G17" s="304"/>
      <c r="H17" s="304"/>
    </row>
    <row r="18" customFormat="false" ht="78.75" hidden="false" customHeight="true" outlineLevel="0" collapsed="false">
      <c r="B18" s="85" t="s">
        <v>8236</v>
      </c>
      <c r="C18" s="85"/>
      <c r="D18" s="85"/>
      <c r="E18" s="85"/>
      <c r="F18" s="85"/>
      <c r="G18" s="85"/>
    </row>
    <row r="19" customFormat="false" ht="15" hidden="false" customHeight="true" outlineLevel="0" collapsed="false">
      <c r="B19" s="85"/>
      <c r="C19" s="85"/>
      <c r="D19" s="85"/>
      <c r="E19" s="85"/>
      <c r="F19" s="85"/>
      <c r="G19" s="85"/>
    </row>
    <row r="20" customFormat="false" ht="15" hidden="false" customHeight="true" outlineLevel="0" collapsed="false">
      <c r="B20" s="85"/>
      <c r="C20" s="85"/>
      <c r="D20" s="85"/>
      <c r="E20" s="85"/>
      <c r="F20" s="85"/>
      <c r="G20" s="85"/>
    </row>
    <row r="21" customFormat="false" ht="15" hidden="false" customHeight="true" outlineLevel="0" collapsed="false">
      <c r="B21" s="85"/>
      <c r="C21" s="85"/>
      <c r="D21" s="85"/>
      <c r="E21" s="85"/>
      <c r="F21" s="85"/>
      <c r="G21" s="85"/>
    </row>
  </sheetData>
  <mergeCells count="6">
    <mergeCell ref="B2:F2"/>
    <mergeCell ref="G2:J2"/>
    <mergeCell ref="B3:J3"/>
    <mergeCell ref="B5:H5"/>
    <mergeCell ref="B17:H17"/>
    <mergeCell ref="B18:G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6" min="5" style="0" width="10"/>
    <col collapsed="false" customWidth="true" hidden="false" outlineLevel="0" max="7" min="7" style="0" width="9"/>
    <col collapsed="false" customWidth="true" hidden="false" outlineLevel="0" max="11" min="8" style="0" width="12"/>
  </cols>
  <sheetData>
    <row r="1" customFormat="false" ht="3.75" hidden="false" customHeight="true" outlineLevel="0" collapsed="false">
      <c r="B1" s="1"/>
      <c r="C1" s="2"/>
      <c r="D1" s="2"/>
      <c r="E1" s="1"/>
      <c r="F1" s="2"/>
      <c r="G1" s="2"/>
    </row>
    <row r="2" customFormat="false" ht="27.75" hidden="false" customHeight="true" outlineLevel="0" collapsed="false">
      <c r="B2" s="88" t="s">
        <v>8237</v>
      </c>
      <c r="C2" s="88"/>
      <c r="D2" s="88"/>
      <c r="E2" s="88"/>
      <c r="F2" s="89" t="s">
        <v>995</v>
      </c>
      <c r="G2" s="89"/>
    </row>
    <row r="3" customFormat="false" ht="18" hidden="false" customHeight="true" outlineLevel="0" collapsed="false">
      <c r="B3" s="90" t="s">
        <v>7228</v>
      </c>
      <c r="C3" s="90"/>
      <c r="D3" s="90"/>
      <c r="E3" s="90"/>
      <c r="F3" s="90"/>
      <c r="G3" s="90"/>
    </row>
    <row r="4" customFormat="false" ht="15" hidden="false" customHeight="true" outlineLevel="0" collapsed="false">
      <c r="B4" s="6"/>
      <c r="E4" s="6"/>
    </row>
    <row r="5" customFormat="false" ht="21.75" hidden="false" customHeight="true" outlineLevel="0" collapsed="false">
      <c r="B5" s="96" t="s">
        <v>4374</v>
      </c>
      <c r="C5" s="96"/>
      <c r="D5" s="96"/>
      <c r="E5" s="96"/>
      <c r="F5" s="96"/>
    </row>
    <row r="6" customFormat="false" ht="21.75" hidden="false" customHeight="true" outlineLevel="0" collapsed="false">
      <c r="B6" s="97" t="s">
        <v>206</v>
      </c>
      <c r="C6" s="98" t="s">
        <v>4375</v>
      </c>
      <c r="D6" s="98" t="s">
        <v>4140</v>
      </c>
      <c r="E6" s="99" t="s">
        <v>4141</v>
      </c>
      <c r="F6" s="98" t="s">
        <v>395</v>
      </c>
    </row>
    <row r="7" customFormat="false" ht="15" hidden="false" customHeight="true" outlineLevel="0" collapsed="false">
      <c r="B7" s="113" t="s">
        <v>8238</v>
      </c>
      <c r="C7" s="544" t="n">
        <f aca="false">'Sponsorships · Revenue'!E10</f>
        <v>0</v>
      </c>
      <c r="D7" s="1421" t="s">
        <v>8239</v>
      </c>
      <c r="E7" s="1453"/>
      <c r="F7" s="634" t="s">
        <v>8240</v>
      </c>
    </row>
    <row r="8" customFormat="false" ht="15" hidden="false" customHeight="true" outlineLevel="0" collapsed="false">
      <c r="B8" s="113" t="s">
        <v>8241</v>
      </c>
      <c r="C8" s="544" t="n">
        <f aca="false">'Sponsorships · Revenue'!E14</f>
        <v>0</v>
      </c>
      <c r="D8" s="1421" t="s">
        <v>8242</v>
      </c>
      <c r="E8" s="1453"/>
      <c r="F8" s="634" t="s">
        <v>8243</v>
      </c>
    </row>
    <row r="9" customFormat="false" ht="15" hidden="false" customHeight="true" outlineLevel="0" collapsed="false">
      <c r="B9" s="113" t="s">
        <v>8207</v>
      </c>
      <c r="C9" s="544" t="n">
        <f aca="false">'Sponsorships · Revenue'!E18</f>
        <v>58000</v>
      </c>
      <c r="D9" s="1421" t="s">
        <v>8244</v>
      </c>
      <c r="E9" s="1453"/>
      <c r="F9" s="634" t="s">
        <v>8245</v>
      </c>
    </row>
    <row r="10" customFormat="false" ht="15" hidden="false" customHeight="true" outlineLevel="0" collapsed="false">
      <c r="B10" s="113" t="s">
        <v>8209</v>
      </c>
      <c r="C10" s="544" t="n">
        <f aca="false">'Sponsorships · Revenue'!E23</f>
        <v>52000</v>
      </c>
      <c r="D10" s="1421" t="s">
        <v>8246</v>
      </c>
      <c r="E10" s="1453"/>
      <c r="F10" s="634" t="s">
        <v>8210</v>
      </c>
    </row>
    <row r="11" customFormat="false" ht="15" hidden="false" customHeight="true" outlineLevel="0" collapsed="false">
      <c r="B11" s="113" t="s">
        <v>4070</v>
      </c>
      <c r="C11" s="1288" t="n">
        <f aca="false">'Sponsorships · Costs'!C29/'Sponsorships · Revenue'!E27</f>
        <v>0.630801393728223</v>
      </c>
      <c r="D11" s="1421" t="s">
        <v>6098</v>
      </c>
      <c r="E11" s="1453"/>
      <c r="F11" s="634" t="s">
        <v>8247</v>
      </c>
    </row>
    <row r="12" customFormat="false" ht="15" hidden="false" customHeight="true" outlineLevel="0" collapsed="false">
      <c r="B12" s="113" t="s">
        <v>8221</v>
      </c>
      <c r="C12" s="533" t="n">
        <f aca="false">3</f>
        <v>3</v>
      </c>
      <c r="D12" s="1421" t="s">
        <v>8248</v>
      </c>
      <c r="E12" s="1453"/>
      <c r="F12" s="634" t="s">
        <v>7057</v>
      </c>
    </row>
    <row r="13" customFormat="false" ht="15" hidden="false" customHeight="true" outlineLevel="0" collapsed="false">
      <c r="B13" s="6"/>
      <c r="E13" s="6"/>
    </row>
    <row r="14" customFormat="false" ht="15" hidden="false" customHeight="true" outlineLevel="0" collapsed="false">
      <c r="B14" s="6"/>
      <c r="E14" s="6"/>
    </row>
    <row r="15" customFormat="false" ht="21.75" hidden="false" customHeight="true" outlineLevel="0" collapsed="false">
      <c r="B15" s="72" t="s">
        <v>7239</v>
      </c>
      <c r="C15" s="72"/>
      <c r="D15" s="72"/>
      <c r="E15" s="72"/>
      <c r="F15" s="72"/>
    </row>
    <row r="16" customFormat="false" ht="120" hidden="false" customHeight="true" outlineLevel="0" collapsed="false">
      <c r="B16" s="1398" t="s">
        <v>8249</v>
      </c>
      <c r="C16" s="1398"/>
      <c r="D16" s="1398"/>
      <c r="E16" s="1398"/>
      <c r="F16" s="1398"/>
    </row>
    <row r="17" customFormat="false" ht="15" hidden="false" customHeight="true" outlineLevel="0" collapsed="false">
      <c r="B17" s="1398"/>
      <c r="C17" s="1398"/>
      <c r="D17" s="1398"/>
      <c r="E17" s="1398"/>
      <c r="F17" s="1398"/>
    </row>
    <row r="18" customFormat="false" ht="15" hidden="false" customHeight="true" outlineLevel="0" collapsed="false">
      <c r="B18" s="1398"/>
      <c r="C18" s="1398"/>
      <c r="D18" s="1398"/>
      <c r="E18" s="1398"/>
      <c r="F18" s="1398"/>
    </row>
    <row r="19" customFormat="false" ht="15" hidden="false" customHeight="true" outlineLevel="0" collapsed="false">
      <c r="B19" s="1398"/>
      <c r="C19" s="1398"/>
      <c r="D19" s="1398"/>
      <c r="E19" s="1398"/>
      <c r="F19" s="1398"/>
    </row>
    <row r="20" customFormat="false" ht="15" hidden="false" customHeight="true" outlineLevel="0" collapsed="false">
      <c r="B20" s="1398"/>
      <c r="C20" s="1398"/>
      <c r="D20" s="1398"/>
      <c r="E20" s="1398"/>
      <c r="F20" s="1398"/>
    </row>
    <row r="21" customFormat="false" ht="15" hidden="false" customHeight="true" outlineLevel="0" collapsed="false">
      <c r="B21" s="1398"/>
      <c r="C21" s="1398"/>
      <c r="D21" s="1398"/>
      <c r="E21" s="1398"/>
      <c r="F21" s="1398"/>
    </row>
    <row r="22" customFormat="false" ht="15" hidden="false" customHeight="true" outlineLevel="0" collapsed="false">
      <c r="B22" s="1398"/>
      <c r="C22" s="1398"/>
      <c r="D22" s="1398"/>
      <c r="E22" s="1398"/>
      <c r="F22" s="1398"/>
    </row>
  </sheetData>
  <mergeCells count="6">
    <mergeCell ref="B2:E2"/>
    <mergeCell ref="F2:G2"/>
    <mergeCell ref="B3:G3"/>
    <mergeCell ref="B5:F5"/>
    <mergeCell ref="B15:F15"/>
    <mergeCell ref="B16:F22"/>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1" min="5" style="0" width="9"/>
  </cols>
  <sheetData>
    <row r="1" customFormat="false" ht="3.75" hidden="false" customHeight="true" outlineLevel="0" collapsed="false">
      <c r="B1" s="1"/>
      <c r="C1" s="1"/>
      <c r="D1" s="2"/>
      <c r="E1" s="2"/>
      <c r="F1" s="2"/>
      <c r="G1" s="2"/>
      <c r="H1" s="2"/>
      <c r="I1" s="2"/>
      <c r="J1" s="2"/>
      <c r="K1" s="2"/>
    </row>
    <row r="2" customFormat="false" ht="27.75" hidden="false" customHeight="true" outlineLevel="0" collapsed="false">
      <c r="B2" s="88" t="s">
        <v>8250</v>
      </c>
      <c r="C2" s="88"/>
      <c r="D2" s="88"/>
      <c r="E2" s="88"/>
      <c r="F2" s="88"/>
      <c r="G2" s="88"/>
      <c r="H2" s="89" t="s">
        <v>995</v>
      </c>
      <c r="I2" s="89"/>
      <c r="J2" s="89"/>
      <c r="K2" s="89"/>
    </row>
    <row r="3" customFormat="false" ht="18" hidden="false" customHeight="true" outlineLevel="0" collapsed="false">
      <c r="B3" s="90" t="s">
        <v>6243</v>
      </c>
      <c r="C3" s="90"/>
      <c r="D3" s="90"/>
      <c r="E3" s="90"/>
      <c r="F3" s="90"/>
      <c r="G3" s="90"/>
      <c r="H3" s="90"/>
      <c r="I3" s="90"/>
      <c r="J3" s="90"/>
      <c r="K3" s="90"/>
    </row>
    <row r="4" customFormat="false" ht="15" hidden="false" customHeight="true" outlineLevel="0" collapsed="false">
      <c r="B4" s="6"/>
      <c r="C4" s="6"/>
    </row>
    <row r="5" customFormat="false" ht="33.75" hidden="false" customHeight="true" outlineLevel="0" collapsed="false">
      <c r="B5" s="96" t="s">
        <v>6244</v>
      </c>
      <c r="C5" s="96"/>
      <c r="D5" s="96"/>
      <c r="E5" s="96"/>
      <c r="F5" s="96"/>
      <c r="G5" s="96"/>
      <c r="H5" s="96"/>
      <c r="I5" s="96"/>
      <c r="J5" s="96"/>
      <c r="K5" s="96"/>
    </row>
    <row r="6" customFormat="false" ht="21.75" hidden="false" customHeight="true" outlineLevel="0" collapsed="false">
      <c r="B6" s="97" t="s">
        <v>4477</v>
      </c>
      <c r="C6" s="99" t="s">
        <v>4478</v>
      </c>
      <c r="D6" s="98" t="s">
        <v>86</v>
      </c>
    </row>
    <row r="7" customFormat="false" ht="15" hidden="false" customHeight="true" outlineLevel="0" collapsed="false">
      <c r="B7" s="113" t="s">
        <v>8251</v>
      </c>
      <c r="C7" s="1404" t="n">
        <f aca="false">'Sponsorships · Revenue'!E27</f>
        <v>287000</v>
      </c>
      <c r="D7" s="634" t="s">
        <v>6246</v>
      </c>
    </row>
    <row r="8" customFormat="false" ht="15" hidden="false" customHeight="true" outlineLevel="0" collapsed="false">
      <c r="B8" s="113" t="s">
        <v>8252</v>
      </c>
      <c r="C8" s="1404" t="n">
        <f aca="false">'Sponsorships · Costs'!C29</f>
        <v>181040</v>
      </c>
      <c r="D8" s="634" t="s">
        <v>6248</v>
      </c>
    </row>
    <row r="9" customFormat="false" ht="15" hidden="false" customHeight="true" outlineLevel="0" collapsed="false">
      <c r="B9" s="113" t="s">
        <v>8253</v>
      </c>
      <c r="C9" s="1404" t="n">
        <f aca="false">'Sponsorships · 8-Year'!C11</f>
        <v>229600</v>
      </c>
      <c r="D9" s="634" t="s">
        <v>3457</v>
      </c>
    </row>
    <row r="10" customFormat="false" ht="15" hidden="false" customHeight="true" outlineLevel="0" collapsed="false">
      <c r="B10" s="113" t="s">
        <v>8254</v>
      </c>
      <c r="C10" s="1404" t="n">
        <f aca="false">'Sponsorships · 8-Year'!D11</f>
        <v>266049</v>
      </c>
      <c r="D10" s="634" t="s">
        <v>6251</v>
      </c>
    </row>
    <row r="11" customFormat="false" ht="15" hidden="false" customHeight="true" outlineLevel="0" collapsed="false">
      <c r="B11" s="113" t="s">
        <v>8255</v>
      </c>
      <c r="C11" s="1404" t="n">
        <f aca="false">'Sponsorships · 8-Year'!E11</f>
        <v>304478.3</v>
      </c>
      <c r="D11" s="634" t="s">
        <v>6253</v>
      </c>
    </row>
    <row r="12" customFormat="false" ht="15" hidden="false" customHeight="true" outlineLevel="0" collapsed="false">
      <c r="B12" s="113" t="s">
        <v>8256</v>
      </c>
      <c r="C12" s="1404" t="n">
        <f aca="false">'Sponsorships · 8-Year'!F11</f>
        <v>313612.649</v>
      </c>
      <c r="D12" s="634" t="s">
        <v>137</v>
      </c>
    </row>
    <row r="13" customFormat="false" ht="15" hidden="false" customHeight="true" outlineLevel="0" collapsed="false">
      <c r="B13" s="113" t="s">
        <v>8257</v>
      </c>
      <c r="C13" s="1404" t="n">
        <f aca="false">'Sponsorships · 8-Year'!G11</f>
        <v>323021.02847</v>
      </c>
      <c r="D13" s="634" t="s">
        <v>6256</v>
      </c>
    </row>
    <row r="14" customFormat="false" ht="15" hidden="false" customHeight="true" outlineLevel="0" collapsed="false">
      <c r="B14" s="6"/>
      <c r="C14" s="6"/>
    </row>
    <row r="15" customFormat="false" ht="15" hidden="false" customHeight="true" outlineLevel="0" collapsed="false">
      <c r="B15" s="6"/>
      <c r="C15" s="6"/>
    </row>
    <row r="16" customFormat="false" ht="21.75" hidden="false" customHeight="true" outlineLevel="0" collapsed="false">
      <c r="B16" s="72" t="s">
        <v>4495</v>
      </c>
      <c r="C16" s="72"/>
      <c r="D16" s="72"/>
      <c r="E16" s="72"/>
      <c r="F16" s="72"/>
      <c r="G16" s="72"/>
      <c r="H16" s="72"/>
      <c r="I16" s="72"/>
      <c r="J16" s="72"/>
      <c r="K16" s="72"/>
    </row>
    <row r="17" customFormat="false" ht="108.75" hidden="false" customHeight="true" outlineLevel="0" collapsed="false">
      <c r="B17" s="1398" t="s">
        <v>8258</v>
      </c>
      <c r="C17" s="1398"/>
      <c r="D17" s="1398"/>
    </row>
    <row r="18" customFormat="false" ht="15" hidden="false" customHeight="true" outlineLevel="0" collapsed="false">
      <c r="B18" s="1398"/>
      <c r="C18" s="1398"/>
      <c r="D18" s="1398"/>
    </row>
    <row r="19" customFormat="false" ht="15" hidden="false" customHeight="true" outlineLevel="0" collapsed="false">
      <c r="B19" s="1398"/>
      <c r="C19" s="1398"/>
      <c r="D19" s="1398"/>
    </row>
    <row r="20" customFormat="false" ht="15" hidden="false" customHeight="true" outlineLevel="0" collapsed="false">
      <c r="B20" s="1398"/>
      <c r="C20" s="1398"/>
      <c r="D20" s="1398"/>
    </row>
    <row r="21" customFormat="false" ht="15" hidden="false" customHeight="true" outlineLevel="0" collapsed="false">
      <c r="B21" s="1398"/>
      <c r="C21" s="1398"/>
      <c r="D21" s="1398"/>
    </row>
    <row r="22" customFormat="false" ht="15" hidden="false" customHeight="true" outlineLevel="0" collapsed="false">
      <c r="B22" s="6"/>
      <c r="C22" s="6"/>
    </row>
    <row r="23" customFormat="false" ht="21.75" hidden="false" customHeight="true" outlineLevel="0" collapsed="false">
      <c r="B23" s="304" t="s">
        <v>6258</v>
      </c>
      <c r="C23" s="304"/>
      <c r="D23" s="304"/>
      <c r="E23" s="304"/>
      <c r="F23" s="304"/>
      <c r="G23" s="304"/>
      <c r="H23" s="304"/>
      <c r="I23" s="304"/>
      <c r="J23" s="304"/>
      <c r="K23" s="304"/>
    </row>
    <row r="24" customFormat="false" ht="108.75" hidden="false" customHeight="true" outlineLevel="0" collapsed="false">
      <c r="B24" s="85" t="s">
        <v>6259</v>
      </c>
      <c r="C24" s="85"/>
      <c r="D24" s="85"/>
    </row>
    <row r="25" customFormat="false" ht="15" hidden="false" customHeight="true" outlineLevel="0" collapsed="false">
      <c r="B25" s="85"/>
      <c r="C25" s="85"/>
      <c r="D25" s="85"/>
    </row>
    <row r="26" customFormat="false" ht="15" hidden="false" customHeight="true" outlineLevel="0" collapsed="false">
      <c r="B26" s="85"/>
      <c r="C26" s="85"/>
      <c r="D26" s="85"/>
    </row>
  </sheetData>
  <mergeCells count="8">
    <mergeCell ref="B2:G2"/>
    <mergeCell ref="H2:K2"/>
    <mergeCell ref="B3:K3"/>
    <mergeCell ref="B5:K5"/>
    <mergeCell ref="B16:K16"/>
    <mergeCell ref="B17:D21"/>
    <mergeCell ref="B23:K23"/>
    <mergeCell ref="B24:D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88" t="s">
        <v>8259</v>
      </c>
      <c r="C2" s="88"/>
      <c r="D2" s="88"/>
      <c r="E2" s="88"/>
      <c r="F2" s="88"/>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'Borderless · Revenue'!E21</f>
        <v>289500</v>
      </c>
      <c r="D7" s="1155" t="n">
        <f aca="false">'Borderless · Costs'!C17</f>
        <v>92500</v>
      </c>
      <c r="E7" s="577" t="n">
        <f aca="false">'Borderless · Costs'!C30</f>
        <v>197000</v>
      </c>
      <c r="F7" s="1156" t="n">
        <f aca="false">'Borderless · Costs'!C30/'Borderless · Revenue'!E21</f>
        <v>0.680483592400691</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'Borderless · Revenue'!E21*I9</f>
        <v>289500</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160" t="s">
        <v>8260</v>
      </c>
      <c r="C13" s="1161" t="n">
        <f aca="false">'Borderless · Revenue'!E8</f>
        <v>49500</v>
      </c>
      <c r="D13" s="572" t="n">
        <f aca="false">C13/'Borderless · Revenue'!E21</f>
        <v>0.170984455958549</v>
      </c>
      <c r="E13" s="314"/>
      <c r="F13" s="314"/>
      <c r="G13" s="314"/>
      <c r="H13" s="314"/>
      <c r="I13" s="314"/>
      <c r="J13" s="314"/>
    </row>
    <row r="14" customFormat="false" ht="15" hidden="false" customHeight="true" outlineLevel="0" collapsed="false">
      <c r="A14" s="314"/>
      <c r="B14" s="126" t="s">
        <v>8261</v>
      </c>
      <c r="C14" s="1161" t="n">
        <f aca="false">'Borderless · Revenue'!E13</f>
        <v>90000</v>
      </c>
      <c r="D14" s="572" t="n">
        <f aca="false">C14/'Borderless · Revenue'!E21</f>
        <v>0.310880829015544</v>
      </c>
      <c r="E14" s="314"/>
      <c r="F14" s="314"/>
      <c r="G14" s="314"/>
      <c r="H14" s="314"/>
      <c r="I14" s="314"/>
      <c r="J14" s="314"/>
    </row>
    <row r="15" customFormat="false" ht="21.75" hidden="false" customHeight="true" outlineLevel="0" collapsed="false">
      <c r="A15" s="314"/>
      <c r="B15" s="1160" t="s">
        <v>8262</v>
      </c>
      <c r="C15" s="1161" t="n">
        <f aca="false">'Borderless · Revenue'!E18</f>
        <v>150000</v>
      </c>
      <c r="D15" s="572" t="n">
        <f aca="false">C15/'Borderless · Revenue'!E21</f>
        <v>0.518134715025907</v>
      </c>
      <c r="E15" s="314"/>
      <c r="F15" s="314"/>
      <c r="G15" s="314"/>
      <c r="H15" s="314"/>
      <c r="I15" s="314"/>
      <c r="J15" s="314"/>
    </row>
    <row r="16" customFormat="false" ht="24" hidden="false" customHeight="true" outlineLevel="0" collapsed="false">
      <c r="A16" s="314"/>
      <c r="B16" s="117" t="s">
        <v>3455</v>
      </c>
      <c r="C16" s="546" t="n">
        <f aca="false">'Borderless · Revenue'!E21</f>
        <v>289500</v>
      </c>
      <c r="D16" s="1162" t="n">
        <v>1</v>
      </c>
      <c r="E16" s="314"/>
      <c r="F16" s="314"/>
      <c r="G16" s="314"/>
      <c r="H16" s="314"/>
      <c r="I16" s="314"/>
      <c r="J16" s="314"/>
    </row>
    <row r="17" customFormat="false" ht="18" hidden="false" customHeight="true" outlineLevel="0" collapsed="false">
      <c r="A17" s="314"/>
      <c r="B17" s="317"/>
      <c r="C17" s="317"/>
      <c r="D17" s="317"/>
      <c r="E17" s="314"/>
      <c r="F17" s="314"/>
      <c r="G17" s="314"/>
      <c r="H17" s="314"/>
      <c r="I17" s="314"/>
      <c r="J17" s="314"/>
    </row>
    <row r="18" customFormat="false" ht="18" hidden="false" customHeight="true" outlineLevel="0" collapsed="false">
      <c r="A18" s="314"/>
      <c r="B18" s="317"/>
      <c r="C18" s="317"/>
      <c r="D18" s="317"/>
      <c r="E18" s="314"/>
      <c r="F18" s="314"/>
      <c r="G18" s="314"/>
      <c r="H18" s="314"/>
      <c r="I18" s="314"/>
      <c r="J18" s="314"/>
    </row>
    <row r="19" customFormat="false" ht="18" hidden="false" customHeight="true" outlineLevel="0" collapsed="false">
      <c r="A19" s="314"/>
      <c r="B19" s="317"/>
      <c r="C19" s="317"/>
      <c r="D19" s="317"/>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8" hidden="false" customHeight="true" outlineLevel="0" collapsed="false">
      <c r="A21" s="314"/>
      <c r="B21" s="317"/>
      <c r="C21" s="317"/>
      <c r="D21" s="317"/>
      <c r="E21" s="314"/>
      <c r="F21" s="314"/>
      <c r="G21" s="314"/>
      <c r="H21" s="314"/>
      <c r="I21" s="314"/>
      <c r="J21" s="314"/>
    </row>
    <row r="22" customFormat="false" ht="18"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15" hidden="false" customHeight="true" outlineLevel="0" collapsed="false">
      <c r="A24" s="314"/>
      <c r="B24" s="113" t="s">
        <v>3457</v>
      </c>
      <c r="C24" s="1161" t="n">
        <f aca="false">'Borderless · 8-Year'!C11</f>
        <v>231600</v>
      </c>
      <c r="D24" s="317"/>
      <c r="E24" s="314"/>
      <c r="F24" s="314"/>
      <c r="G24" s="314"/>
      <c r="H24" s="314"/>
      <c r="I24" s="314"/>
      <c r="J24" s="314"/>
    </row>
    <row r="25" customFormat="false" ht="21.75" hidden="false" customHeight="true" outlineLevel="0" collapsed="false">
      <c r="A25" s="314"/>
      <c r="B25" s="113" t="s">
        <v>3458</v>
      </c>
      <c r="C25" s="1161" t="n">
        <f aca="false">'Borderless · 8-Year'!F11</f>
        <v>316344.4665</v>
      </c>
      <c r="D25" s="317"/>
      <c r="E25" s="314"/>
      <c r="F25" s="314"/>
      <c r="G25" s="314"/>
      <c r="H25" s="314"/>
      <c r="I25" s="314"/>
      <c r="J25" s="314"/>
    </row>
    <row r="26" customFormat="false" ht="15" hidden="false" customHeight="true" outlineLevel="0" collapsed="false">
      <c r="A26" s="314"/>
      <c r="B26" s="113" t="s">
        <v>3459</v>
      </c>
      <c r="C26" s="1161" t="n">
        <f aca="false">'Borderless · 8-Year'!J11</f>
        <v>373850.908242525</v>
      </c>
      <c r="D26" s="317"/>
      <c r="E26" s="314"/>
      <c r="F26" s="314"/>
      <c r="G26" s="314"/>
      <c r="H26" s="314"/>
      <c r="I26" s="314"/>
      <c r="J26" s="314"/>
    </row>
    <row r="27" customFormat="false" ht="15" hidden="false" customHeight="true" outlineLevel="0" collapsed="false">
      <c r="A27" s="314"/>
      <c r="B27" s="81" t="s">
        <v>3460</v>
      </c>
      <c r="C27" s="782" t="n">
        <f aca="false">'Borderless · 8-Year'!K11</f>
        <v>2538479.60881027</v>
      </c>
      <c r="D27" s="317"/>
      <c r="E27" s="314"/>
      <c r="F27" s="314"/>
      <c r="G27" s="314"/>
      <c r="H27" s="314"/>
      <c r="I27" s="314"/>
      <c r="J27" s="314"/>
    </row>
    <row r="28" customFormat="false" ht="15" hidden="false" customHeight="true" outlineLevel="0" collapsed="false">
      <c r="A28" s="314"/>
      <c r="B28" s="81" t="s">
        <v>3461</v>
      </c>
      <c r="C28" s="1163" t="n">
        <f aca="false">'Borderless · 8-Year'!K20</f>
        <v>1725412.28362812</v>
      </c>
      <c r="D28" s="317"/>
      <c r="E28" s="314"/>
      <c r="F28" s="314"/>
      <c r="G28" s="314"/>
      <c r="H28" s="314"/>
      <c r="I28" s="314"/>
      <c r="J28" s="314"/>
    </row>
    <row r="29" customFormat="false" ht="48.75" hidden="false" customHeight="true" outlineLevel="0" collapsed="false">
      <c r="A29" s="314"/>
      <c r="B29" s="1164" t="s">
        <v>3462</v>
      </c>
      <c r="C29" s="1165" t="n">
        <f aca="false">('Borderless · 8-Year'!J11/'Borderless · 8-Year'!C11)^(1/7)-1</f>
        <v>0.0708004745979443</v>
      </c>
      <c r="D29" s="317"/>
      <c r="E29" s="314"/>
      <c r="F29" s="314"/>
      <c r="G29" s="314"/>
      <c r="H29" s="314"/>
      <c r="I29" s="314"/>
      <c r="J29" s="314"/>
    </row>
    <row r="30" customFormat="false" ht="93.75" hidden="false" customHeight="true" outlineLevel="0" collapsed="false">
      <c r="A30" s="314"/>
      <c r="B30" s="907" t="s">
        <v>3463</v>
      </c>
      <c r="C30" s="317"/>
      <c r="D30" s="317"/>
      <c r="E30" s="314"/>
      <c r="F30" s="314"/>
      <c r="G30" s="314"/>
      <c r="H30" s="314"/>
      <c r="I30" s="314"/>
      <c r="J30" s="314"/>
    </row>
    <row r="31" customFormat="false" ht="21.75" hidden="false" customHeight="true" outlineLevel="0" collapsed="false">
      <c r="A31" s="314"/>
      <c r="B31" s="96" t="s">
        <v>4504</v>
      </c>
      <c r="C31" s="96"/>
      <c r="D31" s="96"/>
      <c r="E31" s="96"/>
      <c r="F31" s="96"/>
      <c r="G31" s="96"/>
      <c r="H31" s="96"/>
      <c r="I31" s="96"/>
      <c r="J31" s="314"/>
    </row>
    <row r="32" customFormat="false" ht="21.75" hidden="false" customHeight="true" outlineLevel="0" collapsed="false">
      <c r="A32" s="314"/>
      <c r="B32" s="97" t="s">
        <v>3465</v>
      </c>
      <c r="C32" s="319" t="s">
        <v>3466</v>
      </c>
      <c r="D32" s="319"/>
      <c r="E32" s="319"/>
      <c r="F32" s="319"/>
      <c r="G32" s="319"/>
      <c r="H32" s="319"/>
      <c r="I32" s="314"/>
      <c r="J32" s="314"/>
    </row>
    <row r="33" customFormat="false" ht="48.75" hidden="false" customHeight="true" outlineLevel="0" collapsed="false">
      <c r="A33" s="314"/>
      <c r="B33" s="1160" t="s">
        <v>4505</v>
      </c>
      <c r="C33" s="134" t="s">
        <v>4506</v>
      </c>
      <c r="D33" s="134"/>
      <c r="E33" s="134"/>
      <c r="F33" s="134"/>
      <c r="G33" s="134"/>
      <c r="H33" s="134"/>
      <c r="I33" s="314"/>
      <c r="J33" s="314"/>
    </row>
    <row r="34" customFormat="false" ht="48.75" hidden="false" customHeight="true" outlineLevel="0" collapsed="false">
      <c r="A34" s="314"/>
      <c r="B34" s="1160" t="s">
        <v>4507</v>
      </c>
      <c r="C34" s="134" t="s">
        <v>4508</v>
      </c>
      <c r="D34" s="134"/>
      <c r="E34" s="134"/>
      <c r="F34" s="134"/>
      <c r="G34" s="134"/>
      <c r="H34" s="134"/>
      <c r="I34" s="314"/>
      <c r="J34" s="314"/>
    </row>
    <row r="35" customFormat="false" ht="63.75" hidden="false" customHeight="true" outlineLevel="0" collapsed="false">
      <c r="A35" s="314"/>
      <c r="B35" s="1160" t="s">
        <v>2487</v>
      </c>
      <c r="C35" s="134" t="s">
        <v>4509</v>
      </c>
      <c r="D35" s="134"/>
      <c r="E35" s="134"/>
      <c r="F35" s="134"/>
      <c r="G35" s="134"/>
      <c r="H35" s="134"/>
      <c r="I35" s="314"/>
      <c r="J35" s="314"/>
    </row>
    <row r="36" customFormat="false" ht="63.75" hidden="false" customHeight="true" outlineLevel="0" collapsed="false">
      <c r="A36" s="314"/>
      <c r="B36" s="1160" t="s">
        <v>4510</v>
      </c>
      <c r="C36" s="134" t="s">
        <v>4511</v>
      </c>
      <c r="D36" s="134"/>
      <c r="E36" s="134"/>
      <c r="F36" s="134"/>
      <c r="G36" s="134"/>
      <c r="H36" s="134"/>
      <c r="I36" s="314"/>
      <c r="J36" s="314"/>
    </row>
    <row r="37" customFormat="false" ht="63.75" hidden="false" customHeight="true" outlineLevel="0" collapsed="false">
      <c r="A37" s="314"/>
      <c r="B37" s="1160" t="s">
        <v>4512</v>
      </c>
      <c r="C37" s="134" t="s">
        <v>4513</v>
      </c>
      <c r="D37" s="134"/>
      <c r="E37" s="134"/>
      <c r="F37" s="134"/>
      <c r="G37" s="134"/>
      <c r="H37" s="134"/>
      <c r="I37" s="314"/>
      <c r="J37" s="314"/>
    </row>
    <row r="38" customFormat="false" ht="48.75" hidden="false" customHeight="true" outlineLevel="0" collapsed="false">
      <c r="A38" s="314"/>
      <c r="B38" s="1160" t="s">
        <v>4514</v>
      </c>
      <c r="C38" s="134" t="s">
        <v>4515</v>
      </c>
      <c r="D38" s="134"/>
      <c r="E38" s="134"/>
      <c r="F38" s="134"/>
      <c r="G38" s="134"/>
      <c r="H38" s="134"/>
      <c r="I38" s="314"/>
      <c r="J38" s="314"/>
    </row>
    <row r="39" customFormat="false" ht="63.75" hidden="false" customHeight="true" outlineLevel="0" collapsed="false">
      <c r="A39" s="314"/>
      <c r="B39" s="1160" t="s">
        <v>4516</v>
      </c>
      <c r="C39" s="134" t="s">
        <v>3480</v>
      </c>
      <c r="D39" s="134"/>
      <c r="E39" s="134"/>
      <c r="F39" s="134"/>
      <c r="G39" s="134"/>
      <c r="H39" s="134"/>
      <c r="I39" s="314"/>
      <c r="J39" s="314"/>
    </row>
    <row r="40" customFormat="false" ht="48.75" hidden="false" customHeight="true" outlineLevel="0" collapsed="false">
      <c r="A40" s="314"/>
      <c r="B40" s="1160" t="s">
        <v>4517</v>
      </c>
      <c r="C40" s="134" t="s">
        <v>4518</v>
      </c>
      <c r="D40" s="134"/>
      <c r="E40" s="134"/>
      <c r="F40" s="134"/>
      <c r="G40" s="134"/>
      <c r="H40" s="134"/>
      <c r="I40" s="314"/>
      <c r="J40" s="314"/>
    </row>
    <row r="41" customFormat="false" ht="48.75" hidden="false" customHeight="true" outlineLevel="0" collapsed="false">
      <c r="A41" s="314"/>
      <c r="B41" s="1160" t="s">
        <v>4519</v>
      </c>
      <c r="C41" s="134" t="s">
        <v>3484</v>
      </c>
      <c r="D41" s="134"/>
      <c r="E41" s="134"/>
      <c r="F41" s="134"/>
      <c r="G41" s="134"/>
      <c r="H41" s="134"/>
      <c r="I41" s="314"/>
      <c r="J41" s="314"/>
    </row>
    <row r="42" customFormat="false" ht="63.75" hidden="false" customHeight="true" outlineLevel="0" collapsed="false">
      <c r="A42" s="314"/>
      <c r="B42" s="1160" t="s">
        <v>4520</v>
      </c>
      <c r="C42" s="134" t="s">
        <v>4521</v>
      </c>
      <c r="D42" s="134"/>
      <c r="E42" s="134"/>
      <c r="F42" s="134"/>
      <c r="G42" s="134"/>
      <c r="H42" s="134"/>
      <c r="I42" s="314"/>
      <c r="J42" s="31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620</v>
      </c>
      <c r="D52" s="99" t="s">
        <v>4531</v>
      </c>
      <c r="E52" s="98" t="s">
        <v>8263</v>
      </c>
      <c r="F52" s="98" t="s">
        <v>778</v>
      </c>
    </row>
    <row r="53" customFormat="false" ht="15" hidden="false" customHeight="true" outlineLevel="0" collapsed="false">
      <c r="B53" s="113" t="s">
        <v>3502</v>
      </c>
      <c r="C53" s="1161" t="n">
        <f aca="false">'Borderless · Revenue'!E21</f>
        <v>289500</v>
      </c>
      <c r="D53" s="386" t="n">
        <f aca="false">SUM('Master Revenue'!D7:D15)</f>
        <v>6672022.15</v>
      </c>
      <c r="E53" s="1166" t="n">
        <f aca="false">C53/D53</f>
        <v>0.0433901437212705</v>
      </c>
      <c r="F53" s="107" t="s">
        <v>4533</v>
      </c>
    </row>
    <row r="54" customFormat="false" ht="15" hidden="false" customHeight="true" outlineLevel="0" collapsed="false">
      <c r="B54" s="113" t="s">
        <v>3504</v>
      </c>
      <c r="C54" s="1161" t="n">
        <f aca="false">'Borderless · Costs'!C30</f>
        <v>197000</v>
      </c>
      <c r="D54" s="386" t="n">
        <f aca="false">SUM('Master Cost'!I7:I15)</f>
        <v>4022722.921025</v>
      </c>
      <c r="E54" s="1166" t="n">
        <f aca="false">C54/D54</f>
        <v>0.0489718043891037</v>
      </c>
      <c r="F54" s="107" t="s">
        <v>4534</v>
      </c>
    </row>
    <row r="55" customFormat="false" ht="15" hidden="false" customHeight="true" outlineLevel="0" collapsed="false">
      <c r="B55" s="113" t="s">
        <v>3460</v>
      </c>
      <c r="C55" s="1161" t="n">
        <f aca="false">'Borderless · 8-Year'!K11</f>
        <v>2538479.60881027</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300000</v>
      </c>
      <c r="D59" s="134" t="s">
        <v>4538</v>
      </c>
      <c r="E59" s="134"/>
      <c r="F59" s="134"/>
      <c r="G59" s="134"/>
      <c r="H59" s="134"/>
    </row>
    <row r="60" customFormat="false" ht="15" hidden="false" customHeight="true" outlineLevel="0" collapsed="false">
      <c r="B60" s="126" t="s">
        <v>3511</v>
      </c>
      <c r="C60" s="1161" t="n">
        <f aca="false">'Borderless · Cash Flow'!K28</f>
        <v>1661884.95657269</v>
      </c>
      <c r="D60" s="134" t="s">
        <v>3512</v>
      </c>
      <c r="E60" s="134"/>
      <c r="F60" s="134"/>
      <c r="G60" s="134"/>
      <c r="H60" s="134"/>
    </row>
    <row r="61" customFormat="false" ht="15" hidden="false" customHeight="true" outlineLevel="0" collapsed="false">
      <c r="B61" s="113" t="s">
        <v>3513</v>
      </c>
      <c r="C61" s="1161" t="n">
        <f aca="false">'Borderless · Cash Flow'!F28</f>
        <v>211163.714841541</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1.4206986281953</v>
      </c>
      <c r="D63" s="134" t="s">
        <v>3516</v>
      </c>
      <c r="E63" s="134"/>
      <c r="F63" s="134"/>
      <c r="G63" s="134"/>
      <c r="H63" s="134"/>
    </row>
    <row r="64" customFormat="false" ht="15" hidden="false" customHeight="true" outlineLevel="0" collapsed="false">
      <c r="B64" s="113" t="s">
        <v>3517</v>
      </c>
      <c r="C64" s="1169" t="n">
        <f aca="false">C61/C59</f>
        <v>0.703879049471804</v>
      </c>
      <c r="D64" s="134" t="s">
        <v>3518</v>
      </c>
      <c r="E64" s="134"/>
      <c r="F64" s="134"/>
      <c r="G64" s="134"/>
      <c r="H64" s="134"/>
    </row>
    <row r="65" customFormat="false" ht="15" hidden="false" customHeight="true" outlineLevel="0" collapsed="false">
      <c r="B65" s="113" t="s">
        <v>3519</v>
      </c>
      <c r="C65" s="1170" t="n">
        <f aca="false">(C60+C59)/C59</f>
        <v>6.53961652190895</v>
      </c>
      <c r="D65" s="134" t="s">
        <v>3520</v>
      </c>
      <c r="E65" s="134"/>
      <c r="F65" s="134"/>
      <c r="G65" s="134"/>
      <c r="H65" s="134"/>
    </row>
    <row r="66" customFormat="false" ht="15" hidden="false" customHeight="true" outlineLevel="0" collapsed="false">
      <c r="B66" s="113" t="s">
        <v>3523</v>
      </c>
      <c r="C66" s="1169" t="n">
        <f aca="false">C60/C59</f>
        <v>5.53961652190895</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63.75" hidden="false" customHeight="true" outlineLevel="0" collapsed="false">
      <c r="B70" s="1171" t="s">
        <v>8264</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9"/>
    <col collapsed="false" customWidth="true" hidden="false" outlineLevel="0" max="8" min="8" style="0" width="25"/>
    <col collapsed="false" customWidth="true" hidden="false" outlineLevel="0" max="10" min="9" style="0" width="9"/>
    <col collapsed="false" customWidth="true" hidden="false" outlineLevel="0" max="11" min="11" style="0" width="12"/>
  </cols>
  <sheetData>
    <row r="1" customFormat="false" ht="3.75" hidden="false" customHeight="true" outlineLevel="0" collapsed="false">
      <c r="B1" s="1"/>
      <c r="C1" s="2"/>
      <c r="D1" s="2"/>
      <c r="E1" s="1"/>
      <c r="F1" s="2"/>
      <c r="G1" s="2"/>
      <c r="H1" s="2"/>
      <c r="I1" s="2"/>
      <c r="J1" s="2"/>
    </row>
    <row r="2" customFormat="false" ht="33.75" hidden="false" customHeight="true" outlineLevel="0" collapsed="false">
      <c r="B2" s="878" t="s">
        <v>8265</v>
      </c>
      <c r="C2" s="878"/>
      <c r="D2" s="878"/>
      <c r="E2" s="878"/>
      <c r="F2" s="878"/>
      <c r="G2" s="89" t="s">
        <v>3432</v>
      </c>
      <c r="H2" s="89"/>
      <c r="I2" s="89"/>
      <c r="J2" s="89"/>
    </row>
    <row r="3" customFormat="false" ht="33.75" hidden="false" customHeight="true" outlineLevel="0" collapsed="false">
      <c r="B3" s="90" t="s">
        <v>8266</v>
      </c>
      <c r="C3" s="90"/>
      <c r="D3" s="90"/>
      <c r="E3" s="90"/>
      <c r="F3" s="90"/>
      <c r="G3" s="90"/>
      <c r="H3" s="90"/>
      <c r="I3" s="90"/>
      <c r="J3" s="90"/>
    </row>
    <row r="4" customFormat="false" ht="19.5" hidden="false" customHeight="true" outlineLevel="0" collapsed="false">
      <c r="B4" s="6"/>
      <c r="E4" s="6"/>
      <c r="G4" s="367" t="s">
        <v>4543</v>
      </c>
      <c r="H4" s="367"/>
    </row>
    <row r="5" customFormat="false" ht="24" hidden="false" customHeight="true" outlineLevel="0" collapsed="false">
      <c r="B5" s="575" t="s">
        <v>8267</v>
      </c>
      <c r="C5" s="575"/>
      <c r="D5" s="575"/>
      <c r="E5" s="575"/>
      <c r="G5" s="919" t="str">
        <f aca="false">PROPER('Borderless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26" t="s">
        <v>8268</v>
      </c>
      <c r="C7" s="1172" t="n">
        <v>93.5</v>
      </c>
      <c r="D7" s="1173" t="n">
        <v>110</v>
      </c>
      <c r="E7" s="1174" t="n">
        <v>121</v>
      </c>
      <c r="H7" s="565" t="s">
        <v>8269</v>
      </c>
    </row>
    <row r="8" customFormat="false" ht="16.5" hidden="false" customHeight="true" outlineLevel="0" collapsed="false">
      <c r="B8" s="126" t="s">
        <v>8270</v>
      </c>
      <c r="C8" s="927" t="n">
        <v>3690</v>
      </c>
      <c r="D8" s="928" t="n">
        <v>4500</v>
      </c>
      <c r="E8" s="929" t="n">
        <v>4950</v>
      </c>
      <c r="H8" s="565" t="s">
        <v>8271</v>
      </c>
    </row>
    <row r="9" customFormat="false" ht="16.5" hidden="false" customHeight="true" outlineLevel="0" collapsed="false">
      <c r="B9" s="113" t="s">
        <v>8272</v>
      </c>
      <c r="C9" s="923" t="n">
        <v>0.088</v>
      </c>
      <c r="D9" s="924" t="n">
        <v>0.1</v>
      </c>
      <c r="E9" s="925" t="n">
        <v>0.108</v>
      </c>
      <c r="H9" s="565" t="s">
        <v>8273</v>
      </c>
    </row>
    <row r="10" customFormat="false" ht="15" hidden="false" customHeight="true" outlineLevel="0" collapsed="false">
      <c r="B10" s="6"/>
      <c r="E10" s="6"/>
    </row>
    <row r="11" customFormat="false" ht="16.5" hidden="false" customHeight="true" outlineLevel="0" collapsed="false">
      <c r="B11" s="126" t="s">
        <v>8274</v>
      </c>
      <c r="C11" s="1172" t="n">
        <v>16.4</v>
      </c>
      <c r="D11" s="1173" t="n">
        <v>20</v>
      </c>
      <c r="E11" s="1174" t="n">
        <v>22</v>
      </c>
      <c r="H11" s="565" t="s">
        <v>8275</v>
      </c>
    </row>
    <row r="12" customFormat="false" ht="16.5" hidden="false" customHeight="true" outlineLevel="0" collapsed="false">
      <c r="B12" s="113" t="s">
        <v>8276</v>
      </c>
      <c r="C12" s="927" t="n">
        <v>3690</v>
      </c>
      <c r="D12" s="928" t="n">
        <v>4500</v>
      </c>
      <c r="E12" s="929" t="n">
        <v>4950</v>
      </c>
      <c r="H12" s="565" t="s">
        <v>8277</v>
      </c>
    </row>
    <row r="13" customFormat="false" ht="15" hidden="false" customHeight="true" outlineLevel="0" collapsed="false">
      <c r="B13" s="6"/>
      <c r="E13" s="6"/>
    </row>
    <row r="14" customFormat="false" ht="16.5" hidden="false" customHeight="true" outlineLevel="0" collapsed="false">
      <c r="B14" s="126" t="s">
        <v>8278</v>
      </c>
      <c r="C14" s="1172" t="n">
        <v>4.1</v>
      </c>
      <c r="D14" s="1173" t="n">
        <v>5</v>
      </c>
      <c r="E14" s="1174" t="n">
        <v>5.5</v>
      </c>
      <c r="H14" s="565" t="s">
        <v>8279</v>
      </c>
    </row>
    <row r="15" customFormat="false" ht="16.5" hidden="false" customHeight="true" outlineLevel="0" collapsed="false">
      <c r="B15" s="126" t="s">
        <v>8280</v>
      </c>
      <c r="C15" s="927" t="n">
        <v>24600</v>
      </c>
      <c r="D15" s="928" t="n">
        <v>30000</v>
      </c>
      <c r="E15" s="929" t="n">
        <v>33000</v>
      </c>
      <c r="H15" s="565" t="s">
        <v>8281</v>
      </c>
    </row>
    <row r="16" customFormat="false" ht="6" hidden="false" customHeight="true" outlineLevel="0" collapsed="false">
      <c r="B16" s="6"/>
      <c r="E16" s="6"/>
    </row>
    <row r="17" customFormat="false" ht="33.75" hidden="false" customHeight="true" outlineLevel="0" collapsed="false">
      <c r="B17" s="555" t="s">
        <v>8282</v>
      </c>
      <c r="C17" s="555"/>
      <c r="D17" s="555"/>
      <c r="E17" s="555"/>
      <c r="F17" s="555"/>
      <c r="G17" s="555"/>
      <c r="H17" s="555"/>
    </row>
    <row r="18" customFormat="false" ht="16.5" hidden="false" customHeight="true" outlineLevel="0" collapsed="false">
      <c r="B18" s="126" t="s">
        <v>8283</v>
      </c>
      <c r="C18" s="1443" t="n">
        <v>195</v>
      </c>
      <c r="D18" s="1269" t="s">
        <v>6978</v>
      </c>
      <c r="E18" s="6"/>
      <c r="H18" s="565" t="s">
        <v>6981</v>
      </c>
    </row>
    <row r="19" customFormat="false" ht="16.5" hidden="false" customHeight="true" outlineLevel="0" collapsed="false">
      <c r="B19" s="126" t="s">
        <v>8284</v>
      </c>
      <c r="C19" s="1443" t="n">
        <v>200</v>
      </c>
      <c r="D19" s="1269" t="s">
        <v>6978</v>
      </c>
      <c r="E19" s="6"/>
      <c r="H19" s="565" t="s">
        <v>8285</v>
      </c>
    </row>
    <row r="20" customFormat="false" ht="48.75" hidden="false" customHeight="true" outlineLevel="0" collapsed="false">
      <c r="B20" s="1489" t="s">
        <v>8286</v>
      </c>
      <c r="C20" s="1489"/>
      <c r="D20" s="1489"/>
      <c r="E20" s="1489"/>
      <c r="F20" s="1489"/>
      <c r="G20" s="1489"/>
      <c r="H20" s="1489"/>
    </row>
    <row r="21" customFormat="false" ht="6" hidden="false" customHeight="true" outlineLevel="0" collapsed="false">
      <c r="B21" s="6"/>
      <c r="E21" s="6"/>
    </row>
    <row r="22" customFormat="false" ht="21.75" hidden="false" customHeight="true" outlineLevel="0" collapsed="false">
      <c r="B22" s="125" t="s">
        <v>6375</v>
      </c>
      <c r="C22" s="125"/>
      <c r="D22" s="125"/>
      <c r="E22" s="125"/>
      <c r="F22" s="125"/>
      <c r="G22" s="125"/>
      <c r="H22" s="125"/>
    </row>
    <row r="23" customFormat="false" ht="18" hidden="false" customHeight="true" outlineLevel="0" collapsed="false">
      <c r="B23" s="113" t="s">
        <v>8287</v>
      </c>
      <c r="C23" s="1175" t="n">
        <f aca="false">IF($G$5="Bear",C7,IF($G$5="Bull",E7,D7))</f>
        <v>110</v>
      </c>
      <c r="E23" s="6"/>
      <c r="H23" s="565" t="s">
        <v>8288</v>
      </c>
    </row>
    <row r="24" customFormat="false" ht="18" hidden="false" customHeight="true" outlineLevel="0" collapsed="false">
      <c r="B24" s="113" t="s">
        <v>8289</v>
      </c>
      <c r="C24" s="1176" t="n">
        <f aca="false">IF($G$5="Bear",C8,IF($G$5="Bull",E8,D8))</f>
        <v>4500</v>
      </c>
      <c r="E24" s="6"/>
      <c r="H24" s="565" t="s">
        <v>8288</v>
      </c>
    </row>
    <row r="25" customFormat="false" ht="18" hidden="false" customHeight="true" outlineLevel="0" collapsed="false">
      <c r="B25" s="113" t="s">
        <v>8290</v>
      </c>
      <c r="C25" s="1330" t="n">
        <f aca="false">IF($G$5="Bear",C9,IF($G$5="Bull",E9,D9))</f>
        <v>0.1</v>
      </c>
      <c r="E25" s="6"/>
      <c r="H25" s="565" t="s">
        <v>8288</v>
      </c>
    </row>
    <row r="26" customFormat="false" ht="18" hidden="false" customHeight="true" outlineLevel="0" collapsed="false">
      <c r="B26" s="113" t="s">
        <v>8291</v>
      </c>
      <c r="C26" s="1175" t="n">
        <f aca="false">IF($G$5="Bear",C11,IF($G$5="Bull",E11,D11))</f>
        <v>20</v>
      </c>
      <c r="E26" s="6"/>
      <c r="H26" s="565" t="s">
        <v>8292</v>
      </c>
    </row>
    <row r="27" customFormat="false" ht="18" hidden="false" customHeight="true" outlineLevel="0" collapsed="false">
      <c r="B27" s="113" t="s">
        <v>8293</v>
      </c>
      <c r="C27" s="1176" t="n">
        <f aca="false">IF($G$5="Bear",C12,IF($G$5="Bull",E12,D12))</f>
        <v>4500</v>
      </c>
      <c r="E27" s="6"/>
      <c r="H27" s="565" t="s">
        <v>8292</v>
      </c>
    </row>
    <row r="28" customFormat="false" ht="18" hidden="false" customHeight="true" outlineLevel="0" collapsed="false">
      <c r="B28" s="113" t="s">
        <v>8294</v>
      </c>
      <c r="C28" s="1175" t="n">
        <f aca="false">IF($G$5="Bear",C14,IF($G$5="Bull",E14,D14))</f>
        <v>5</v>
      </c>
      <c r="E28" s="6"/>
      <c r="H28" s="565" t="s">
        <v>8295</v>
      </c>
    </row>
    <row r="29" customFormat="false" ht="18" hidden="false" customHeight="true" outlineLevel="0" collapsed="false">
      <c r="B29" s="113" t="s">
        <v>8296</v>
      </c>
      <c r="C29" s="1176" t="n">
        <f aca="false">IF($G$5="Bear",C15,IF($G$5="Bull",E15,D15))</f>
        <v>30000</v>
      </c>
      <c r="E29" s="6"/>
      <c r="H29" s="565" t="s">
        <v>8295</v>
      </c>
    </row>
    <row r="30" customFormat="false" ht="6" hidden="false" customHeight="true" outlineLevel="0" collapsed="false">
      <c r="B30" s="6"/>
      <c r="E30" s="6"/>
    </row>
    <row r="31" customFormat="false" ht="33.75" hidden="false" customHeight="true" outlineLevel="0" collapsed="false">
      <c r="B31" s="125" t="s">
        <v>8297</v>
      </c>
      <c r="C31" s="125"/>
      <c r="D31" s="125"/>
      <c r="E31" s="125"/>
      <c r="F31" s="125"/>
      <c r="G31" s="125"/>
      <c r="H31" s="125"/>
    </row>
    <row r="32" customFormat="false" ht="16.5" hidden="false" customHeight="true" outlineLevel="0" collapsed="false">
      <c r="B32" s="905" t="s">
        <v>8298</v>
      </c>
      <c r="C32" s="1344" t="n">
        <f aca="false">C23*C24*C25</f>
        <v>49500</v>
      </c>
      <c r="E32" s="6"/>
      <c r="H32" s="565" t="s">
        <v>8299</v>
      </c>
    </row>
    <row r="33" customFormat="false" ht="16.5" hidden="false" customHeight="true" outlineLevel="0" collapsed="false">
      <c r="B33" s="905" t="s">
        <v>8300</v>
      </c>
      <c r="C33" s="1344" t="n">
        <f aca="false">C26*C27</f>
        <v>90000</v>
      </c>
      <c r="E33" s="6"/>
      <c r="H33" s="565" t="s">
        <v>8301</v>
      </c>
    </row>
    <row r="34" customFormat="false" ht="16.5" hidden="false" customHeight="true" outlineLevel="0" collapsed="false">
      <c r="B34" s="1061" t="s">
        <v>8302</v>
      </c>
      <c r="C34" s="1344" t="n">
        <f aca="false">C28*C29</f>
        <v>150000</v>
      </c>
      <c r="E34" s="6"/>
      <c r="H34" s="565" t="s">
        <v>8303</v>
      </c>
    </row>
    <row r="35" customFormat="false" ht="16.5" hidden="false" customHeight="true" outlineLevel="0" collapsed="false">
      <c r="B35" s="905" t="s">
        <v>8304</v>
      </c>
      <c r="C35" s="1344" t="n">
        <f aca="false">C32+C33+C34</f>
        <v>289500</v>
      </c>
      <c r="E35" s="6"/>
      <c r="H35" s="565" t="s">
        <v>8305</v>
      </c>
    </row>
    <row r="36" customFormat="false" ht="6" hidden="false" customHeight="true" outlineLevel="0" collapsed="false">
      <c r="B36" s="6"/>
      <c r="E36" s="6"/>
    </row>
    <row r="37" customFormat="false" ht="33.75" hidden="false" customHeight="true" outlineLevel="0" collapsed="false">
      <c r="B37" s="96" t="s">
        <v>8306</v>
      </c>
      <c r="C37" s="96"/>
      <c r="D37" s="96"/>
      <c r="E37" s="96"/>
      <c r="F37" s="96"/>
      <c r="G37" s="96"/>
      <c r="H37" s="96"/>
    </row>
    <row r="38" customFormat="false" ht="15" hidden="false" customHeight="true" outlineLevel="0" collapsed="false">
      <c r="B38" s="6"/>
      <c r="E38" s="6"/>
    </row>
    <row r="39" customFormat="false" ht="15" hidden="false" customHeight="true" outlineLevel="0" collapsed="false">
      <c r="B39" s="81" t="s">
        <v>4602</v>
      </c>
      <c r="E39" s="6"/>
    </row>
    <row r="40" customFormat="false" ht="16.5" hidden="false" customHeight="true" outlineLevel="0" collapsed="false">
      <c r="B40" s="126" t="s">
        <v>8307</v>
      </c>
      <c r="C40" s="945" t="n">
        <v>12000</v>
      </c>
      <c r="E40" s="6"/>
      <c r="H40" s="565" t="s">
        <v>8308</v>
      </c>
    </row>
    <row r="41" customFormat="false" ht="33.75" hidden="false" customHeight="true" outlineLevel="0" collapsed="false">
      <c r="B41" s="126" t="s">
        <v>8309</v>
      </c>
      <c r="C41" s="945" t="n">
        <v>0</v>
      </c>
      <c r="E41" s="6"/>
      <c r="H41" s="565" t="s">
        <v>8310</v>
      </c>
    </row>
    <row r="42" customFormat="false" ht="16.5" hidden="false" customHeight="true" outlineLevel="0" collapsed="false">
      <c r="B42" s="126" t="s">
        <v>8311</v>
      </c>
      <c r="C42" s="945" t="n">
        <v>6000</v>
      </c>
      <c r="E42" s="6"/>
      <c r="H42" s="565" t="s">
        <v>8312</v>
      </c>
    </row>
    <row r="43" customFormat="false" ht="16.5" hidden="false" customHeight="true" outlineLevel="0" collapsed="false">
      <c r="B43" s="113" t="s">
        <v>8067</v>
      </c>
      <c r="C43" s="945" t="n">
        <v>4000</v>
      </c>
      <c r="E43" s="6"/>
      <c r="H43" s="565" t="s">
        <v>8313</v>
      </c>
    </row>
    <row r="44" customFormat="false" ht="15" hidden="false" customHeight="true" outlineLevel="0" collapsed="false">
      <c r="B44" s="6"/>
      <c r="E44" s="6"/>
    </row>
    <row r="45" customFormat="false" ht="15" hidden="false" customHeight="true" outlineLevel="0" collapsed="false">
      <c r="B45" s="81" t="s">
        <v>7033</v>
      </c>
      <c r="E45" s="6"/>
    </row>
    <row r="46" customFormat="false" ht="16.5" hidden="false" customHeight="true" outlineLevel="0" collapsed="false">
      <c r="B46" s="126" t="s">
        <v>8314</v>
      </c>
      <c r="C46" s="936" t="n">
        <v>0.3</v>
      </c>
      <c r="E46" s="6"/>
      <c r="H46" s="565" t="s">
        <v>8315</v>
      </c>
    </row>
    <row r="47" customFormat="false" ht="16.5" hidden="false" customHeight="true" outlineLevel="0" collapsed="false">
      <c r="B47" s="126" t="s">
        <v>8316</v>
      </c>
      <c r="C47" s="936" t="n">
        <v>0.25</v>
      </c>
      <c r="E47" s="6"/>
      <c r="H47" s="565" t="s">
        <v>8317</v>
      </c>
    </row>
    <row r="48" customFormat="false" ht="16.5" hidden="false" customHeight="true" outlineLevel="0" collapsed="false">
      <c r="B48" s="126" t="s">
        <v>8318</v>
      </c>
      <c r="C48" s="960" t="n">
        <v>0.025</v>
      </c>
      <c r="E48" s="6"/>
      <c r="H48" s="565" t="s">
        <v>7614</v>
      </c>
    </row>
    <row r="49" customFormat="false" ht="16.5" hidden="false" customHeight="true" outlineLevel="0" collapsed="false">
      <c r="B49" s="126" t="s">
        <v>8319</v>
      </c>
      <c r="C49" s="936" t="n">
        <v>0.05</v>
      </c>
      <c r="E49" s="6"/>
      <c r="H49" s="565" t="s">
        <v>8320</v>
      </c>
    </row>
  </sheetData>
  <mergeCells count="10">
    <mergeCell ref="B2:F2"/>
    <mergeCell ref="G2:J2"/>
    <mergeCell ref="B3:J3"/>
    <mergeCell ref="G4:H4"/>
    <mergeCell ref="B5:E5"/>
    <mergeCell ref="B17:H17"/>
    <mergeCell ref="B20:H20"/>
    <mergeCell ref="B22:H22"/>
    <mergeCell ref="B31:H31"/>
    <mergeCell ref="B37:H3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H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18"/>
    <col collapsed="false" customWidth="true" hidden="false" outlineLevel="0" max="6" min="5" style="0" width="15"/>
    <col collapsed="false" customWidth="true" hidden="false" outlineLevel="0" max="7" min="7" style="0" width="60.83"/>
    <col collapsed="false" customWidth="true" hidden="false" outlineLevel="0" max="8" min="8" style="0" width="28"/>
  </cols>
  <sheetData>
    <row r="1" customFormat="false" ht="3.75" hidden="false" customHeight="true" outlineLevel="0" collapsed="false">
      <c r="B1" s="1"/>
      <c r="C1" s="2"/>
      <c r="D1" s="1"/>
      <c r="E1" s="2"/>
      <c r="F1" s="2"/>
      <c r="G1" s="2"/>
    </row>
    <row r="2" customFormat="false" ht="27.75" hidden="false" customHeight="true" outlineLevel="0" collapsed="false">
      <c r="B2" s="15" t="s">
        <v>8321</v>
      </c>
      <c r="C2" s="15"/>
      <c r="D2" s="15"/>
      <c r="E2" s="15"/>
      <c r="F2" s="89" t="s">
        <v>995</v>
      </c>
      <c r="G2" s="89"/>
    </row>
    <row r="3" customFormat="false" ht="33.75" hidden="false" customHeight="true" outlineLevel="0" collapsed="false">
      <c r="B3" s="529" t="s">
        <v>7041</v>
      </c>
      <c r="C3" s="529"/>
      <c r="D3" s="529"/>
      <c r="E3" s="529"/>
      <c r="F3" s="529"/>
      <c r="G3" s="529"/>
    </row>
    <row r="4" customFormat="false" ht="33.75" hidden="false" customHeight="true" outlineLevel="0" collapsed="false">
      <c r="B4" s="1444" t="s">
        <v>7042</v>
      </c>
      <c r="C4" s="1444"/>
      <c r="D4" s="1444"/>
      <c r="E4" s="1444"/>
      <c r="F4" s="1444"/>
      <c r="G4" s="1444"/>
      <c r="H4" s="0" t="s">
        <v>3856</v>
      </c>
    </row>
    <row r="5" customFormat="false" ht="21.75" hidden="false" customHeight="true" outlineLevel="0" collapsed="false">
      <c r="B5" s="97" t="s">
        <v>3857</v>
      </c>
      <c r="C5" s="98" t="s">
        <v>393</v>
      </c>
      <c r="D5" s="99" t="s">
        <v>1658</v>
      </c>
      <c r="E5" s="98" t="s">
        <v>3858</v>
      </c>
      <c r="F5" s="98" t="s">
        <v>102</v>
      </c>
      <c r="G5" s="98" t="s">
        <v>778</v>
      </c>
    </row>
    <row r="6" customFormat="false" ht="27.75" hidden="false" customHeight="true" outlineLevel="0" collapsed="false">
      <c r="B6" s="113" t="s">
        <v>8322</v>
      </c>
      <c r="C6" s="533" t="n">
        <f aca="false">'Borderless · Drivers'!D7</f>
        <v>110</v>
      </c>
      <c r="D6" s="592" t="s">
        <v>8323</v>
      </c>
      <c r="E6" s="1261" t="s">
        <v>4821</v>
      </c>
      <c r="F6" s="1257" t="s">
        <v>1600</v>
      </c>
      <c r="G6" s="538" t="s">
        <v>8324</v>
      </c>
    </row>
    <row r="7" customFormat="false" ht="27.75" hidden="false" customHeight="true" outlineLevel="0" collapsed="false">
      <c r="B7" s="113" t="s">
        <v>8325</v>
      </c>
      <c r="C7" s="533" t="n">
        <f aca="false">'Borderless · Drivers'!D8</f>
        <v>4500</v>
      </c>
      <c r="D7" s="592" t="s">
        <v>8326</v>
      </c>
      <c r="E7" s="1256" t="s">
        <v>4796</v>
      </c>
      <c r="F7" s="1257" t="s">
        <v>1600</v>
      </c>
      <c r="G7" s="538" t="s">
        <v>8327</v>
      </c>
    </row>
    <row r="8" customFormat="false" ht="27.75" hidden="false" customHeight="true" outlineLevel="0" collapsed="false">
      <c r="B8" s="113" t="s">
        <v>8328</v>
      </c>
      <c r="C8" s="533" t="n">
        <f aca="false">'Borderless · Drivers'!D9</f>
        <v>0.1</v>
      </c>
      <c r="D8" s="592" t="s">
        <v>5820</v>
      </c>
      <c r="E8" s="1256" t="s">
        <v>4796</v>
      </c>
      <c r="F8" s="1259" t="s">
        <v>4803</v>
      </c>
      <c r="G8" s="538" t="s">
        <v>8329</v>
      </c>
    </row>
    <row r="9" customFormat="false" ht="27.75" hidden="false" customHeight="true" outlineLevel="0" collapsed="false">
      <c r="B9" s="113" t="s">
        <v>8330</v>
      </c>
      <c r="C9" s="533" t="n">
        <f aca="false">'Borderless · Drivers'!D11</f>
        <v>20</v>
      </c>
      <c r="D9" s="592" t="s">
        <v>8331</v>
      </c>
      <c r="E9" s="1261" t="s">
        <v>4821</v>
      </c>
      <c r="F9" s="1257" t="s">
        <v>1600</v>
      </c>
      <c r="G9" s="538" t="s">
        <v>8332</v>
      </c>
    </row>
    <row r="10" customFormat="false" ht="27.75" hidden="false" customHeight="true" outlineLevel="0" collapsed="false">
      <c r="B10" s="113" t="s">
        <v>8333</v>
      </c>
      <c r="C10" s="544" t="n">
        <f aca="false">'Borderless · Drivers'!D12</f>
        <v>4500</v>
      </c>
      <c r="D10" s="592" t="s">
        <v>8334</v>
      </c>
      <c r="E10" s="1256" t="s">
        <v>4796</v>
      </c>
      <c r="F10" s="1257" t="s">
        <v>1600</v>
      </c>
      <c r="G10" s="538" t="s">
        <v>8335</v>
      </c>
    </row>
    <row r="11" customFormat="false" ht="27.75" hidden="false" customHeight="true" outlineLevel="0" collapsed="false">
      <c r="B11" s="113" t="s">
        <v>8336</v>
      </c>
      <c r="C11" s="533" t="n">
        <f aca="false">'Borderless · Drivers'!D14</f>
        <v>5</v>
      </c>
      <c r="D11" s="592" t="s">
        <v>8337</v>
      </c>
      <c r="E11" s="1261" t="s">
        <v>4821</v>
      </c>
      <c r="F11" s="1257" t="s">
        <v>1600</v>
      </c>
      <c r="G11" s="538" t="s">
        <v>8338</v>
      </c>
    </row>
    <row r="12" customFormat="false" ht="27.75" hidden="false" customHeight="true" outlineLevel="0" collapsed="false">
      <c r="B12" s="113" t="s">
        <v>8339</v>
      </c>
      <c r="C12" s="544" t="n">
        <f aca="false">'Borderless · Drivers'!D15</f>
        <v>30000</v>
      </c>
      <c r="D12" s="592" t="s">
        <v>8340</v>
      </c>
      <c r="E12" s="1261" t="s">
        <v>4821</v>
      </c>
      <c r="F12" s="1257" t="s">
        <v>1600</v>
      </c>
      <c r="G12" s="538" t="s">
        <v>8341</v>
      </c>
    </row>
    <row r="13" customFormat="false" ht="27.75" hidden="false" customHeight="true" outlineLevel="0" collapsed="false">
      <c r="B13" s="113" t="s">
        <v>8115</v>
      </c>
      <c r="C13" s="544" t="n">
        <f aca="false">'Borderless · Costs'!C7</f>
        <v>12000</v>
      </c>
      <c r="D13" s="592" t="s">
        <v>3920</v>
      </c>
      <c r="E13" s="1260" t="s">
        <v>4807</v>
      </c>
      <c r="F13" s="1216" t="s">
        <v>2765</v>
      </c>
      <c r="G13" s="538" t="s">
        <v>8342</v>
      </c>
    </row>
    <row r="14" customFormat="false" ht="27.75" hidden="false" customHeight="true" outlineLevel="0" collapsed="false">
      <c r="B14" s="113" t="s">
        <v>8343</v>
      </c>
      <c r="C14" s="1288" t="n">
        <f aca="false">0.2</f>
        <v>0.2</v>
      </c>
      <c r="D14" s="592" t="s">
        <v>8344</v>
      </c>
      <c r="E14" s="1256" t="s">
        <v>4796</v>
      </c>
      <c r="F14" s="1259" t="s">
        <v>4803</v>
      </c>
      <c r="G14" s="538" t="s">
        <v>8345</v>
      </c>
    </row>
    <row r="15" customFormat="false" ht="27.75" hidden="false" customHeight="true" outlineLevel="0" collapsed="false">
      <c r="B15" s="113" t="s">
        <v>3943</v>
      </c>
      <c r="C15" s="1288" t="n">
        <f aca="false">0.005</f>
        <v>0.005</v>
      </c>
      <c r="D15" s="592" t="s">
        <v>8346</v>
      </c>
      <c r="E15" s="1260" t="s">
        <v>4807</v>
      </c>
      <c r="F15" s="1216" t="s">
        <v>2765</v>
      </c>
      <c r="G15" s="538" t="s">
        <v>8347</v>
      </c>
    </row>
    <row r="16" customFormat="false" ht="27.75" hidden="false" customHeight="true" outlineLevel="0" collapsed="false">
      <c r="B16" s="113" t="s">
        <v>3946</v>
      </c>
      <c r="C16" s="533" t="n">
        <f aca="false">45</f>
        <v>45</v>
      </c>
      <c r="D16" s="592" t="s">
        <v>8120</v>
      </c>
      <c r="E16" s="1256" t="s">
        <v>4796</v>
      </c>
      <c r="F16" s="1259" t="s">
        <v>4803</v>
      </c>
      <c r="G16" s="538" t="s">
        <v>8348</v>
      </c>
    </row>
    <row r="17" customFormat="false" ht="27.75" hidden="false" customHeight="true" outlineLevel="0" collapsed="false">
      <c r="B17" s="113" t="s">
        <v>3949</v>
      </c>
      <c r="C17" s="533" t="n">
        <f aca="false">30</f>
        <v>30</v>
      </c>
      <c r="D17" s="592" t="s">
        <v>5849</v>
      </c>
      <c r="E17" s="1260" t="s">
        <v>4807</v>
      </c>
      <c r="F17" s="1216" t="s">
        <v>2765</v>
      </c>
      <c r="G17" s="538" t="s">
        <v>3950</v>
      </c>
    </row>
    <row r="18" customFormat="false" ht="27.75" hidden="false" customHeight="true" outlineLevel="0" collapsed="false">
      <c r="B18" s="113" t="s">
        <v>3951</v>
      </c>
      <c r="C18" s="1288" t="n">
        <f aca="false">0.01</f>
        <v>0.01</v>
      </c>
      <c r="D18" s="592" t="s">
        <v>8349</v>
      </c>
      <c r="E18" s="1260" t="s">
        <v>4807</v>
      </c>
      <c r="F18" s="1216" t="s">
        <v>2765</v>
      </c>
      <c r="G18" s="538" t="s">
        <v>8350</v>
      </c>
    </row>
    <row r="19" customFormat="false" ht="15" hidden="false" customHeight="true" outlineLevel="0" collapsed="false">
      <c r="B19" s="6"/>
      <c r="D19" s="6"/>
    </row>
    <row r="20" customFormat="false" ht="15" hidden="false" customHeight="true" outlineLevel="0" collapsed="false">
      <c r="B20" s="6"/>
      <c r="D20" s="6"/>
    </row>
    <row r="21" customFormat="false" ht="21.75" hidden="false" customHeight="true" outlineLevel="0" collapsed="false">
      <c r="B21" s="304" t="s">
        <v>7072</v>
      </c>
      <c r="C21" s="304"/>
      <c r="D21" s="304"/>
      <c r="E21" s="304"/>
      <c r="F21" s="304"/>
      <c r="G21" s="304"/>
    </row>
    <row r="22" customFormat="false" ht="108.75" hidden="false" customHeight="true" outlineLevel="0" collapsed="false">
      <c r="B22" s="1445" t="s">
        <v>7073</v>
      </c>
      <c r="C22" s="1445"/>
      <c r="D22" s="1445"/>
      <c r="E22" s="1445"/>
      <c r="F22" s="1445"/>
      <c r="G22" s="1445"/>
    </row>
    <row r="23" customFormat="false" ht="15" hidden="false" customHeight="true" outlineLevel="0" collapsed="false">
      <c r="B23" s="1445"/>
      <c r="C23" s="1445"/>
      <c r="D23" s="1445"/>
      <c r="E23" s="1445"/>
      <c r="F23" s="1445"/>
      <c r="G23" s="1445"/>
    </row>
    <row r="24" customFormat="false" ht="15" hidden="false" customHeight="true" outlineLevel="0" collapsed="false">
      <c r="B24" s="1445"/>
      <c r="C24" s="1445"/>
      <c r="D24" s="1445"/>
      <c r="E24" s="1445"/>
      <c r="F24" s="1445"/>
      <c r="G24" s="1445"/>
    </row>
    <row r="25" customFormat="false" ht="15" hidden="false" customHeight="true" outlineLevel="0" collapsed="false">
      <c r="B25" s="1445"/>
      <c r="C25" s="1445"/>
      <c r="D25" s="1445"/>
      <c r="E25" s="1445"/>
      <c r="F25" s="1445"/>
      <c r="G25" s="1445"/>
    </row>
  </sheetData>
  <mergeCells count="6">
    <mergeCell ref="B2:E2"/>
    <mergeCell ref="F2:G2"/>
    <mergeCell ref="B3:G3"/>
    <mergeCell ref="B4:G4"/>
    <mergeCell ref="B21:G21"/>
    <mergeCell ref="B22:G25"/>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6578</v>
      </c>
      <c r="C2" s="917"/>
      <c r="D2" s="917"/>
      <c r="E2" s="917"/>
      <c r="F2" s="917"/>
      <c r="G2" s="89" t="s">
        <v>3432</v>
      </c>
      <c r="H2" s="89"/>
      <c r="I2" s="89"/>
      <c r="J2" s="89"/>
    </row>
    <row r="3" customFormat="false" ht="33.75" hidden="false" customHeight="true" outlineLevel="0" collapsed="false">
      <c r="B3" s="90" t="s">
        <v>8351</v>
      </c>
      <c r="C3" s="90"/>
      <c r="D3" s="90"/>
      <c r="E3" s="90"/>
      <c r="F3" s="90"/>
      <c r="G3" s="90"/>
      <c r="H3" s="90"/>
      <c r="I3" s="90"/>
      <c r="J3" s="90"/>
    </row>
    <row r="4" customFormat="false" ht="15" hidden="false" customHeight="true" outlineLevel="0" collapsed="false">
      <c r="B4" s="6"/>
      <c r="I4" s="6"/>
    </row>
    <row r="5" customFormat="false" ht="33.75" hidden="false" customHeight="true" outlineLevel="0" collapsed="false">
      <c r="B5" s="96" t="s">
        <v>8352</v>
      </c>
      <c r="C5" s="96"/>
      <c r="D5" s="96"/>
      <c r="E5" s="96"/>
      <c r="F5" s="96"/>
      <c r="G5" s="96"/>
      <c r="H5" s="96"/>
      <c r="I5" s="6"/>
    </row>
    <row r="6" customFormat="false" ht="19.5" hidden="false" customHeight="true" outlineLevel="0" collapsed="false">
      <c r="B6" s="97" t="s">
        <v>666</v>
      </c>
      <c r="C6" s="98" t="s">
        <v>1531</v>
      </c>
      <c r="D6" s="98" t="s">
        <v>1958</v>
      </c>
      <c r="E6" s="98" t="s">
        <v>4770</v>
      </c>
      <c r="G6" s="551" t="s">
        <v>3508</v>
      </c>
      <c r="I6" s="6"/>
    </row>
    <row r="7" customFormat="false" ht="16.5" hidden="false" customHeight="true" outlineLevel="0" collapsed="false">
      <c r="B7" s="126" t="s">
        <v>8353</v>
      </c>
      <c r="C7" s="1366" t="n">
        <f aca="false">'Borderless · Drivers'!C23</f>
        <v>110</v>
      </c>
      <c r="D7" s="1263" t="n">
        <f aca="false">'Borderless · Drivers'!C24*'Borderless · Drivers'!C25</f>
        <v>450</v>
      </c>
      <c r="E7" s="544" t="n">
        <f aca="false">'Borderless · Drivers'!C32</f>
        <v>49500</v>
      </c>
      <c r="G7" s="565" t="s">
        <v>8299</v>
      </c>
      <c r="I7" s="6"/>
    </row>
    <row r="8" customFormat="false" ht="21.75" hidden="false" customHeight="true" outlineLevel="0" collapsed="false">
      <c r="B8" s="81" t="s">
        <v>8354</v>
      </c>
      <c r="E8" s="1446" t="n">
        <f aca="false">E7</f>
        <v>49500</v>
      </c>
      <c r="I8" s="6"/>
    </row>
    <row r="9" customFormat="false" ht="15" hidden="false" customHeight="true" outlineLevel="0" collapsed="false">
      <c r="B9" s="6"/>
      <c r="I9" s="6"/>
    </row>
    <row r="10" customFormat="false" ht="33.75" hidden="false" customHeight="true" outlineLevel="0" collapsed="false">
      <c r="B10" s="96" t="s">
        <v>8355</v>
      </c>
      <c r="C10" s="96"/>
      <c r="D10" s="96"/>
      <c r="E10" s="96"/>
      <c r="F10" s="96"/>
      <c r="G10" s="96"/>
      <c r="H10" s="96"/>
      <c r="I10" s="6"/>
    </row>
    <row r="11" customFormat="false" ht="19.5" hidden="false" customHeight="true" outlineLevel="0" collapsed="false">
      <c r="B11" s="97" t="s">
        <v>666</v>
      </c>
      <c r="C11" s="98" t="s">
        <v>8356</v>
      </c>
      <c r="D11" s="98" t="s">
        <v>8357</v>
      </c>
      <c r="E11" s="98" t="s">
        <v>4770</v>
      </c>
      <c r="G11" s="551" t="s">
        <v>3508</v>
      </c>
      <c r="I11" s="6"/>
    </row>
    <row r="12" customFormat="false" ht="16.5" hidden="false" customHeight="true" outlineLevel="0" collapsed="false">
      <c r="B12" s="126" t="s">
        <v>8358</v>
      </c>
      <c r="C12" s="1366" t="n">
        <f aca="false">'Borderless · Drivers'!C26</f>
        <v>20</v>
      </c>
      <c r="D12" s="1263" t="n">
        <f aca="false">'Borderless · Drivers'!C27</f>
        <v>4500</v>
      </c>
      <c r="E12" s="544" t="n">
        <f aca="false">'Borderless · Drivers'!C33</f>
        <v>90000</v>
      </c>
      <c r="G12" s="565" t="s">
        <v>8359</v>
      </c>
      <c r="I12" s="6"/>
    </row>
    <row r="13" customFormat="false" ht="21.75" hidden="false" customHeight="true" outlineLevel="0" collapsed="false">
      <c r="B13" s="81" t="s">
        <v>8360</v>
      </c>
      <c r="E13" s="1446" t="n">
        <f aca="false">E12</f>
        <v>90000</v>
      </c>
      <c r="I13" s="6"/>
    </row>
    <row r="14" customFormat="false" ht="15" hidden="false" customHeight="true" outlineLevel="0" collapsed="false">
      <c r="B14" s="6"/>
      <c r="I14" s="6"/>
    </row>
    <row r="15" customFormat="false" ht="33.75" hidden="false" customHeight="true" outlineLevel="0" collapsed="false">
      <c r="B15" s="96" t="s">
        <v>8361</v>
      </c>
      <c r="C15" s="96"/>
      <c r="D15" s="96"/>
      <c r="E15" s="96"/>
      <c r="F15" s="96"/>
      <c r="G15" s="96"/>
      <c r="H15" s="96"/>
      <c r="I15" s="6"/>
    </row>
    <row r="16" customFormat="false" ht="19.5" hidden="false" customHeight="true" outlineLevel="0" collapsed="false">
      <c r="B16" s="97" t="s">
        <v>666</v>
      </c>
      <c r="C16" s="98" t="s">
        <v>8362</v>
      </c>
      <c r="D16" s="98" t="s">
        <v>8363</v>
      </c>
      <c r="E16" s="98" t="s">
        <v>4770</v>
      </c>
      <c r="G16" s="551" t="s">
        <v>3508</v>
      </c>
      <c r="I16" s="6"/>
    </row>
    <row r="17" customFormat="false" ht="16.5" hidden="false" customHeight="true" outlineLevel="0" collapsed="false">
      <c r="B17" s="126" t="s">
        <v>8364</v>
      </c>
      <c r="C17" s="1366" t="n">
        <f aca="false">'Borderless · Drivers'!C28</f>
        <v>5</v>
      </c>
      <c r="D17" s="1263" t="n">
        <f aca="false">'Borderless · Drivers'!C29</f>
        <v>30000</v>
      </c>
      <c r="E17" s="544" t="n">
        <f aca="false">'Borderless · Drivers'!C34</f>
        <v>150000</v>
      </c>
      <c r="G17" s="565" t="s">
        <v>8303</v>
      </c>
      <c r="I17" s="6"/>
    </row>
    <row r="18" customFormat="false" ht="21.75" hidden="false" customHeight="true" outlineLevel="0" collapsed="false">
      <c r="B18" s="81" t="s">
        <v>8365</v>
      </c>
      <c r="E18" s="1446" t="n">
        <f aca="false">E17</f>
        <v>150000</v>
      </c>
      <c r="I18" s="6"/>
    </row>
    <row r="19" customFormat="false" ht="15" hidden="false" customHeight="true" outlineLevel="0" collapsed="false">
      <c r="B19" s="6"/>
      <c r="I19" s="6"/>
    </row>
    <row r="20" customFormat="false" ht="21.75" hidden="false" customHeight="true" outlineLevel="0" collapsed="false">
      <c r="B20" s="51" t="s">
        <v>8366</v>
      </c>
      <c r="C20" s="51"/>
      <c r="D20" s="51"/>
      <c r="E20" s="51"/>
      <c r="F20" s="51"/>
      <c r="G20" s="51"/>
      <c r="H20" s="51"/>
      <c r="I20" s="6"/>
    </row>
    <row r="21" customFormat="false" ht="27.75" hidden="false" customHeight="true" outlineLevel="0" collapsed="false">
      <c r="B21" s="1266" t="s">
        <v>8304</v>
      </c>
      <c r="E21" s="578" t="n">
        <f aca="false">E8+E13+E18</f>
        <v>289500</v>
      </c>
      <c r="I21" s="6"/>
    </row>
    <row r="22" customFormat="false" ht="15" hidden="false" customHeight="true" outlineLevel="0" collapsed="false">
      <c r="B22" s="6"/>
      <c r="I22" s="6"/>
    </row>
    <row r="23" customFormat="false" ht="15" hidden="false" customHeight="true" outlineLevel="0" collapsed="false">
      <c r="B23" s="6"/>
      <c r="I23" s="6"/>
    </row>
    <row r="24" customFormat="false" ht="21.75" hidden="false" customHeight="true" outlineLevel="0" collapsed="false">
      <c r="B24" s="575" t="s">
        <v>3443</v>
      </c>
      <c r="C24" s="575"/>
      <c r="D24" s="575"/>
      <c r="E24" s="575"/>
      <c r="F24" s="575"/>
      <c r="G24" s="575"/>
      <c r="H24" s="575"/>
      <c r="I24" s="6"/>
    </row>
    <row r="25" customFormat="false" ht="15" hidden="false" customHeight="true" outlineLevel="0" collapsed="false">
      <c r="B25" s="97" t="s">
        <v>3445</v>
      </c>
      <c r="C25" s="98" t="s">
        <v>2771</v>
      </c>
      <c r="D25" s="98" t="s">
        <v>1052</v>
      </c>
      <c r="I25" s="6"/>
    </row>
    <row r="26" customFormat="false" ht="15" hidden="false" customHeight="true" outlineLevel="0" collapsed="false">
      <c r="B26" s="113" t="s">
        <v>1984</v>
      </c>
      <c r="C26" s="571" t="n">
        <f aca="false">E8</f>
        <v>49500</v>
      </c>
      <c r="D26" s="594" t="n">
        <f aca="false">E8/$E$21</f>
        <v>0.170984455958549</v>
      </c>
      <c r="I26" s="6"/>
    </row>
    <row r="27" customFormat="false" ht="15" hidden="false" customHeight="true" outlineLevel="0" collapsed="false">
      <c r="B27" s="113" t="s">
        <v>1987</v>
      </c>
      <c r="C27" s="571" t="n">
        <f aca="false">E13</f>
        <v>90000</v>
      </c>
      <c r="D27" s="594" t="n">
        <f aca="false">E13/$E$21</f>
        <v>0.310880829015544</v>
      </c>
      <c r="I27" s="6"/>
    </row>
    <row r="28" customFormat="false" ht="15" hidden="false" customHeight="true" outlineLevel="0" collapsed="false">
      <c r="B28" s="113" t="s">
        <v>8262</v>
      </c>
      <c r="C28" s="571" t="n">
        <f aca="false">E18</f>
        <v>150000</v>
      </c>
      <c r="D28" s="594" t="n">
        <f aca="false">E18/$E$21</f>
        <v>0.518134715025907</v>
      </c>
      <c r="I28" s="6"/>
    </row>
    <row r="29" customFormat="false" ht="15" hidden="false" customHeight="true" outlineLevel="0" collapsed="false">
      <c r="B29" s="6"/>
      <c r="I29" s="6"/>
    </row>
    <row r="30" customFormat="false" ht="15" hidden="false" customHeight="true" outlineLevel="0" collapsed="false">
      <c r="B30" s="6"/>
      <c r="I30" s="6"/>
    </row>
    <row r="31" customFormat="false" ht="33.75" hidden="false" customHeight="true" outlineLevel="0" collapsed="false">
      <c r="B31" s="555" t="s">
        <v>8367</v>
      </c>
      <c r="C31" s="555"/>
      <c r="D31" s="555"/>
      <c r="E31" s="555"/>
      <c r="F31" s="555"/>
      <c r="G31" s="555"/>
      <c r="H31" s="555"/>
      <c r="I31" s="6"/>
    </row>
    <row r="32" customFormat="false" ht="15" hidden="false" customHeight="true" outlineLevel="0" collapsed="false">
      <c r="B32" s="1433" t="s">
        <v>8368</v>
      </c>
      <c r="E32" s="1447" t="n">
        <f aca="false">'Borderless · Drivers'!C18</f>
        <v>195</v>
      </c>
      <c r="G32" s="0" t="s">
        <v>8369</v>
      </c>
      <c r="I32" s="6"/>
    </row>
    <row r="33" customFormat="false" ht="15" hidden="false" customHeight="true" outlineLevel="0" collapsed="false">
      <c r="B33" s="1433" t="s">
        <v>8268</v>
      </c>
      <c r="E33" s="1447" t="n">
        <f aca="false">'Borderless · Drivers'!C23</f>
        <v>110</v>
      </c>
      <c r="G33" s="0" t="s">
        <v>8370</v>
      </c>
      <c r="I33" s="6"/>
    </row>
  </sheetData>
  <mergeCells count="9">
    <mergeCell ref="B2:F2"/>
    <mergeCell ref="G2:J2"/>
    <mergeCell ref="B3:J3"/>
    <mergeCell ref="B5:H5"/>
    <mergeCell ref="B10:H10"/>
    <mergeCell ref="B15:H15"/>
    <mergeCell ref="B20:H20"/>
    <mergeCell ref="B24:H24"/>
    <mergeCell ref="B31:H3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8371</v>
      </c>
      <c r="C2" s="878"/>
      <c r="D2" s="878"/>
      <c r="E2" s="878"/>
      <c r="F2" s="878"/>
      <c r="G2" s="1023" t="s">
        <v>3432</v>
      </c>
      <c r="H2" s="1023"/>
      <c r="I2" s="1023"/>
      <c r="J2" s="1023"/>
    </row>
    <row r="3" customFormat="false" ht="33.75" hidden="false" customHeight="true" outlineLevel="0" collapsed="false">
      <c r="B3" s="90" t="s">
        <v>8372</v>
      </c>
      <c r="C3" s="90"/>
      <c r="D3" s="90"/>
      <c r="E3" s="90"/>
      <c r="F3" s="90"/>
      <c r="G3" s="90"/>
      <c r="H3" s="90"/>
      <c r="I3" s="90"/>
      <c r="J3" s="90"/>
    </row>
    <row r="4" customFormat="false" ht="15" hidden="false" customHeight="true" outlineLevel="0" collapsed="false">
      <c r="B4" s="6"/>
      <c r="G4" s="6"/>
    </row>
    <row r="5" customFormat="false" ht="21.75" hidden="false" customHeight="true" outlineLevel="0" collapsed="false">
      <c r="B5" s="96" t="s">
        <v>4928</v>
      </c>
      <c r="C5" s="96"/>
      <c r="D5" s="96"/>
      <c r="E5" s="96"/>
      <c r="F5" s="96"/>
      <c r="G5" s="96"/>
      <c r="H5" s="96"/>
    </row>
    <row r="6" customFormat="false" ht="19.5" hidden="false" customHeight="true" outlineLevel="0" collapsed="false">
      <c r="B6" s="99" t="s">
        <v>4929</v>
      </c>
      <c r="C6" s="98" t="s">
        <v>2771</v>
      </c>
      <c r="D6" s="98" t="s">
        <v>4930</v>
      </c>
      <c r="E6" s="98" t="s">
        <v>8373</v>
      </c>
      <c r="F6" s="98" t="s">
        <v>4016</v>
      </c>
      <c r="G6" s="99" t="s">
        <v>4932</v>
      </c>
      <c r="H6" s="98" t="s">
        <v>778</v>
      </c>
    </row>
    <row r="7" customFormat="false" ht="16.5" hidden="false" customHeight="true" outlineLevel="0" collapsed="false">
      <c r="B7" s="126" t="s">
        <v>8374</v>
      </c>
      <c r="C7" s="1277" t="n">
        <f aca="false">'Borderless · Drivers'!C40</f>
        <v>12000</v>
      </c>
      <c r="D7" s="593" t="n">
        <f aca="false">C7/'Borderless · Revenue'!E21</f>
        <v>0.0414507772020725</v>
      </c>
      <c r="F7" s="455" t="s">
        <v>3663</v>
      </c>
      <c r="G7" s="1279" t="n">
        <v>0</v>
      </c>
      <c r="H7" s="565" t="s">
        <v>7013</v>
      </c>
    </row>
    <row r="8" customFormat="false" ht="16.5" hidden="false" customHeight="true" outlineLevel="0" collapsed="false">
      <c r="B8" s="126" t="s">
        <v>8375</v>
      </c>
      <c r="C8" s="1277" t="n">
        <f aca="false">'Borderless · Drivers'!C41</f>
        <v>0</v>
      </c>
      <c r="D8" s="593" t="n">
        <f aca="false">C8/'Borderless · Revenue'!E21</f>
        <v>0</v>
      </c>
      <c r="F8" s="455" t="s">
        <v>3663</v>
      </c>
      <c r="G8" s="1279" t="n">
        <v>0</v>
      </c>
      <c r="H8" s="565" t="s">
        <v>8376</v>
      </c>
    </row>
    <row r="9" customFormat="false" ht="16.5" hidden="false" customHeight="true" outlineLevel="0" collapsed="false">
      <c r="B9" s="113" t="s">
        <v>8377</v>
      </c>
      <c r="C9" s="1277" t="n">
        <v>0</v>
      </c>
      <c r="D9" s="593" t="n">
        <f aca="false">C9/'Borderless · Revenue'!E21</f>
        <v>0</v>
      </c>
      <c r="F9" s="455" t="s">
        <v>3663</v>
      </c>
      <c r="G9" s="1279" t="n">
        <v>0</v>
      </c>
      <c r="H9" s="565" t="s">
        <v>8378</v>
      </c>
    </row>
    <row r="10" customFormat="false" ht="16.5" hidden="false" customHeight="true" outlineLevel="0" collapsed="false">
      <c r="B10" s="113" t="s">
        <v>8157</v>
      </c>
      <c r="C10" s="1277" t="n">
        <f aca="false">'Borderless · Drivers'!C43</f>
        <v>4000</v>
      </c>
      <c r="D10" s="593" t="n">
        <f aca="false">C10/'Borderless · Revenue'!E21</f>
        <v>0.0138169257340242</v>
      </c>
      <c r="F10" s="455" t="s">
        <v>3663</v>
      </c>
      <c r="G10" s="1279" t="n">
        <v>0</v>
      </c>
      <c r="H10" s="565" t="s">
        <v>8379</v>
      </c>
    </row>
    <row r="11" customFormat="false" ht="15" hidden="false" customHeight="true" outlineLevel="0" collapsed="false">
      <c r="B11" s="6"/>
      <c r="G11" s="6"/>
    </row>
    <row r="12" customFormat="false" ht="16.5" hidden="false" customHeight="true" outlineLevel="0" collapsed="false">
      <c r="B12" s="126" t="s">
        <v>8380</v>
      </c>
      <c r="C12" s="1277" t="n">
        <f aca="false">'Borderless · Drivers'!C46*'Borderless · Revenue'!E13</f>
        <v>27000</v>
      </c>
      <c r="D12" s="593" t="n">
        <f aca="false">C12/'Borderless · Revenue'!E21</f>
        <v>0.0932642487046632</v>
      </c>
      <c r="E12" s="690" t="s">
        <v>8381</v>
      </c>
      <c r="F12" s="821" t="s">
        <v>4027</v>
      </c>
      <c r="G12" s="1279" t="n">
        <v>1</v>
      </c>
      <c r="H12" s="565" t="s">
        <v>8382</v>
      </c>
    </row>
    <row r="13" customFormat="false" ht="16.5" hidden="false" customHeight="true" outlineLevel="0" collapsed="false">
      <c r="B13" s="126" t="s">
        <v>8383</v>
      </c>
      <c r="C13" s="1277" t="n">
        <f aca="false">'Borderless · Drivers'!C47*'Borderless · Revenue'!E18</f>
        <v>37500</v>
      </c>
      <c r="D13" s="593" t="n">
        <f aca="false">C13/'Borderless · Revenue'!E21</f>
        <v>0.129533678756477</v>
      </c>
      <c r="E13" s="690" t="s">
        <v>8384</v>
      </c>
      <c r="F13" s="821" t="s">
        <v>4027</v>
      </c>
      <c r="G13" s="1279" t="n">
        <v>1</v>
      </c>
      <c r="H13" s="565" t="s">
        <v>8385</v>
      </c>
    </row>
    <row r="14" customFormat="false" ht="16.5" hidden="false" customHeight="true" outlineLevel="0" collapsed="false">
      <c r="B14" s="113" t="s">
        <v>6617</v>
      </c>
      <c r="C14" s="1277" t="n">
        <v>0</v>
      </c>
      <c r="D14" s="593" t="n">
        <f aca="false">C14/'Borderless · Revenue'!E21</f>
        <v>0</v>
      </c>
      <c r="F14" s="821" t="s">
        <v>4027</v>
      </c>
      <c r="G14" s="1279" t="n">
        <v>1</v>
      </c>
      <c r="H14" s="565" t="s">
        <v>8386</v>
      </c>
    </row>
    <row r="15" customFormat="false" ht="16.5" hidden="false" customHeight="true" outlineLevel="0" collapsed="false">
      <c r="B15" s="126" t="s">
        <v>8387</v>
      </c>
      <c r="C15" s="1277" t="n">
        <f aca="false">'Borderless · Drivers'!C49*('Borderless · Revenue'!E13+'Borderless · Revenue'!E18)</f>
        <v>12000</v>
      </c>
      <c r="D15" s="593" t="n">
        <f aca="false">C15/'Borderless · Revenue'!E21</f>
        <v>0.0414507772020725</v>
      </c>
      <c r="F15" s="821" t="s">
        <v>4027</v>
      </c>
      <c r="G15" s="1279" t="n">
        <v>1</v>
      </c>
      <c r="H15" s="565" t="s">
        <v>8388</v>
      </c>
    </row>
    <row r="16" customFormat="false" ht="15" hidden="false" customHeight="true" outlineLevel="0" collapsed="false">
      <c r="B16" s="6"/>
      <c r="G16" s="6"/>
    </row>
    <row r="17" customFormat="false" ht="24" hidden="false" customHeight="true" outlineLevel="0" collapsed="false">
      <c r="B17" s="117" t="s">
        <v>4953</v>
      </c>
      <c r="C17" s="1436" t="n">
        <f aca="false">SUM(C7:C15)</f>
        <v>92500</v>
      </c>
      <c r="D17" s="1166" t="n">
        <f aca="false">C17/'Borderless · Revenue'!E21</f>
        <v>0.319516407599309</v>
      </c>
      <c r="G17" s="6"/>
    </row>
    <row r="18" customFormat="false" ht="15" hidden="false" customHeight="true" outlineLevel="0" collapsed="false">
      <c r="B18" s="6"/>
      <c r="G18" s="6"/>
    </row>
    <row r="19" customFormat="false" ht="21.75" hidden="false" customHeight="true" outlineLevel="0" collapsed="false">
      <c r="B19" s="575" t="s">
        <v>7134</v>
      </c>
      <c r="C19" s="575"/>
      <c r="D19" s="575"/>
      <c r="E19" s="575"/>
      <c r="F19" s="575"/>
      <c r="G19" s="575"/>
      <c r="H19" s="575"/>
    </row>
    <row r="20" customFormat="false" ht="15" hidden="false" customHeight="true" outlineLevel="0" collapsed="false">
      <c r="B20" s="81" t="s">
        <v>4957</v>
      </c>
      <c r="C20" s="406" t="n">
        <f aca="false">SUMPRODUCT(C7:C15,1-G7:G15)</f>
        <v>16000</v>
      </c>
      <c r="D20" s="1370" t="n">
        <f aca="false">C20/C17</f>
        <v>0.172972972972973</v>
      </c>
      <c r="G20" s="6"/>
    </row>
    <row r="21" customFormat="false" ht="15" hidden="false" customHeight="true" outlineLevel="0" collapsed="false">
      <c r="B21" s="663" t="s">
        <v>4958</v>
      </c>
      <c r="C21" s="1371" t="n">
        <f aca="false">SUMPRODUCT(C7:C15,G7:G15)</f>
        <v>76500</v>
      </c>
      <c r="D21" s="1370" t="n">
        <f aca="false">C21/C17</f>
        <v>0.827027027027027</v>
      </c>
      <c r="G21" s="6"/>
    </row>
    <row r="22" customFormat="false" ht="15" hidden="false" customHeight="true" outlineLevel="0" collapsed="false">
      <c r="B22" s="6"/>
      <c r="G22" s="6"/>
    </row>
    <row r="23" customFormat="false" ht="15" hidden="false" customHeight="true" outlineLevel="0" collapsed="false">
      <c r="B23" s="1076" t="s">
        <v>4959</v>
      </c>
      <c r="C23" s="1284" t="n">
        <f aca="false">C21/'Borderless · Revenue'!E21</f>
        <v>0.264248704663212</v>
      </c>
      <c r="G23" s="6"/>
    </row>
    <row r="24" customFormat="false" ht="15" hidden="false" customHeight="true" outlineLevel="0" collapsed="false">
      <c r="B24" s="6"/>
      <c r="G24" s="6"/>
    </row>
    <row r="25" customFormat="false" ht="15" hidden="false" customHeight="true" outlineLevel="0" collapsed="false">
      <c r="B25" s="592" t="s">
        <v>4961</v>
      </c>
      <c r="C25" s="1437" t="str">
        <f aca="false">IF(ABS((C20+C21)-C17)&lt;1,"✓ Reconciles","✗ Diff: "&amp;TEXT((C20+C21)-C17,"$#,##0"))</f>
        <v>✓ Reconciles</v>
      </c>
      <c r="G25" s="6"/>
    </row>
    <row r="26" customFormat="false" ht="15" hidden="false" customHeight="true" outlineLevel="0" collapsed="false">
      <c r="B26" s="6"/>
      <c r="G26" s="6"/>
    </row>
    <row r="27" customFormat="false" ht="21.75" hidden="false" customHeight="true" outlineLevel="0" collapsed="false">
      <c r="B27" s="72" t="s">
        <v>8389</v>
      </c>
      <c r="C27" s="72"/>
      <c r="D27" s="72"/>
      <c r="E27" s="72"/>
      <c r="F27" s="72"/>
      <c r="G27" s="72"/>
      <c r="H27" s="72"/>
    </row>
    <row r="28" customFormat="false" ht="15" hidden="false" customHeight="true" outlineLevel="0" collapsed="false">
      <c r="B28" s="6" t="s">
        <v>4962</v>
      </c>
      <c r="C28" s="1374" t="n">
        <f aca="false">'Borderless · Revenue'!E21</f>
        <v>289500</v>
      </c>
      <c r="G28" s="6"/>
    </row>
    <row r="29" customFormat="false" ht="15" hidden="false" customHeight="true" outlineLevel="0" collapsed="false">
      <c r="B29" s="6" t="s">
        <v>4963</v>
      </c>
      <c r="C29" s="1375" t="n">
        <f aca="false">-C17</f>
        <v>-92500</v>
      </c>
      <c r="G29" s="6"/>
    </row>
    <row r="30" customFormat="false" ht="17.25" hidden="false" customHeight="true" outlineLevel="0" collapsed="false">
      <c r="B30" s="1376" t="s">
        <v>7380</v>
      </c>
      <c r="C30" s="1377" t="n">
        <f aca="false">C28+C29</f>
        <v>197000</v>
      </c>
      <c r="G30" s="6"/>
    </row>
    <row r="31" customFormat="false" ht="15" hidden="false" customHeight="true" outlineLevel="0" collapsed="false">
      <c r="B31" s="592" t="s">
        <v>4991</v>
      </c>
      <c r="C31" s="1156" t="n">
        <f aca="false">C30/C28</f>
        <v>0.680483592400691</v>
      </c>
      <c r="D31" s="565" t="s">
        <v>8390</v>
      </c>
      <c r="G31" s="6"/>
    </row>
  </sheetData>
  <mergeCells count="6">
    <mergeCell ref="B2:F2"/>
    <mergeCell ref="G2:J2"/>
    <mergeCell ref="B3:J3"/>
    <mergeCell ref="B5:H5"/>
    <mergeCell ref="B19:H19"/>
    <mergeCell ref="B27:H2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K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8391</v>
      </c>
      <c r="C2" s="88"/>
      <c r="D2" s="88"/>
      <c r="E2" s="88"/>
      <c r="F2" s="88"/>
      <c r="G2" s="88"/>
      <c r="H2" s="89" t="s">
        <v>995</v>
      </c>
      <c r="I2" s="89"/>
      <c r="J2" s="89"/>
      <c r="K2" s="89"/>
    </row>
    <row r="3" customFormat="false" ht="33.75" hidden="false" customHeight="true" outlineLevel="0" collapsed="false">
      <c r="B3" s="90" t="s">
        <v>5924</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206</v>
      </c>
      <c r="C5" s="98" t="s">
        <v>760</v>
      </c>
      <c r="D5" s="98" t="s">
        <v>908</v>
      </c>
      <c r="E5" s="98" t="s">
        <v>765</v>
      </c>
      <c r="F5" s="98" t="s">
        <v>770</v>
      </c>
      <c r="G5" s="98" t="s">
        <v>909</v>
      </c>
      <c r="H5" s="98" t="s">
        <v>910</v>
      </c>
      <c r="I5" s="98" t="s">
        <v>911</v>
      </c>
      <c r="J5" s="98" t="s">
        <v>912</v>
      </c>
      <c r="K5" s="99" t="s">
        <v>875</v>
      </c>
    </row>
    <row r="6" customFormat="false" ht="15" hidden="false" customHeight="true" outlineLevel="0" collapsed="false">
      <c r="B6" s="592" t="s">
        <v>4059</v>
      </c>
      <c r="C6" s="1378" t="n">
        <v>0.8</v>
      </c>
      <c r="D6" s="1378" t="n">
        <v>0.9</v>
      </c>
      <c r="E6" s="1378" t="n">
        <v>1</v>
      </c>
      <c r="F6" s="1378" t="n">
        <v>1</v>
      </c>
      <c r="G6" s="1378" t="n">
        <v>1</v>
      </c>
      <c r="H6" s="1378" t="n">
        <v>1.05</v>
      </c>
      <c r="I6" s="1378" t="n">
        <v>1.05</v>
      </c>
      <c r="J6" s="1378" t="n">
        <v>1.05</v>
      </c>
      <c r="K6" s="6"/>
    </row>
    <row r="7" customFormat="false" ht="15" hidden="false" customHeight="true" outlineLevel="0" collapsed="false">
      <c r="B7" s="592" t="s">
        <v>5925</v>
      </c>
      <c r="C7" s="1379" t="n">
        <f aca="false">(1+0.03)^0</f>
        <v>1</v>
      </c>
      <c r="D7" s="1379" t="n">
        <f aca="false">(1+0.03)^1</f>
        <v>1.03</v>
      </c>
      <c r="E7" s="1379" t="n">
        <f aca="false">(1+0.03)^2</f>
        <v>1.0609</v>
      </c>
      <c r="F7" s="1379" t="n">
        <f aca="false">(1+0.03)^3</f>
        <v>1.092727</v>
      </c>
      <c r="G7" s="1379" t="n">
        <f aca="false">(1+0.03)^4</f>
        <v>1.12550881</v>
      </c>
      <c r="H7" s="1379" t="n">
        <f aca="false">(1+0.03)^5</f>
        <v>1.1592740743</v>
      </c>
      <c r="I7" s="1379" t="n">
        <f aca="false">(1+0.03)^6</f>
        <v>1.194052296529</v>
      </c>
      <c r="J7" s="1379" t="n">
        <f aca="false">(1+0.03)^7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380" t="s">
        <v>4062</v>
      </c>
      <c r="C10" s="720" t="n">
        <f aca="false">'Borderless · Revenue'!E21</f>
        <v>289500</v>
      </c>
      <c r="D10" s="720" t="n">
        <f aca="false">'Borderless · Revenue'!E21</f>
        <v>289500</v>
      </c>
      <c r="E10" s="720" t="n">
        <f aca="false">'Borderless · Revenue'!E21</f>
        <v>289500</v>
      </c>
      <c r="F10" s="720" t="n">
        <f aca="false">'Borderless · Revenue'!E21</f>
        <v>289500</v>
      </c>
      <c r="G10" s="720" t="n">
        <f aca="false">'Borderless · Revenue'!E21</f>
        <v>289500</v>
      </c>
      <c r="H10" s="720" t="n">
        <f aca="false">'Borderless · Revenue'!E21</f>
        <v>289500</v>
      </c>
      <c r="I10" s="720" t="n">
        <f aca="false">'Borderless · Revenue'!E21</f>
        <v>289500</v>
      </c>
      <c r="J10" s="720" t="n">
        <f aca="false">'Borderless · Revenue'!E21</f>
        <v>289500</v>
      </c>
      <c r="K10" s="6"/>
    </row>
    <row r="11" customFormat="false" ht="15" hidden="false" customHeight="true" outlineLevel="0" collapsed="false">
      <c r="B11" s="81" t="s">
        <v>4063</v>
      </c>
      <c r="C11" s="544" t="n">
        <f aca="false">'Borderless · Revenue'!E21*C6*C7</f>
        <v>231600</v>
      </c>
      <c r="D11" s="544" t="n">
        <f aca="false">'Borderless · Revenue'!E21*D6*D7</f>
        <v>268366.5</v>
      </c>
      <c r="E11" s="544" t="n">
        <f aca="false">'Borderless · Revenue'!E21*E6*E7</f>
        <v>307130.55</v>
      </c>
      <c r="F11" s="544" t="n">
        <f aca="false">'Borderless · Revenue'!E21*F6*F7</f>
        <v>316344.4665</v>
      </c>
      <c r="G11" s="544" t="n">
        <f aca="false">'Borderless · Revenue'!E21*G6*G7</f>
        <v>325834.800495</v>
      </c>
      <c r="H11" s="544" t="n">
        <f aca="false">'Borderless · Revenue'!E21*H6*H7</f>
        <v>352390.336735343</v>
      </c>
      <c r="I11" s="544" t="n">
        <f aca="false">'Borderless · Revenue'!E21*I6*I7</f>
        <v>362962.046837403</v>
      </c>
      <c r="J11" s="544" t="n">
        <f aca="false">'Borderless · Revenue'!E21*J6*J7</f>
        <v>373850.908242525</v>
      </c>
      <c r="K11" s="1381" t="n">
        <f aca="false">SUM(C11:J11)</f>
        <v>2538479.60881027</v>
      </c>
    </row>
    <row r="12" customFormat="false" ht="15" hidden="false" customHeight="true" outlineLevel="0" collapsed="false">
      <c r="B12" s="1382" t="s">
        <v>4064</v>
      </c>
      <c r="D12" s="593" t="n">
        <f aca="false">D11/C11-1</f>
        <v>0.15875</v>
      </c>
      <c r="E12" s="593" t="n">
        <f aca="false">E11/D11-1</f>
        <v>0.144444444444444</v>
      </c>
      <c r="F12" s="593" t="n">
        <f aca="false">F11/E11-1</f>
        <v>0.03</v>
      </c>
      <c r="G12" s="593" t="n">
        <f aca="false">G11/F11-1</f>
        <v>0.0300000000000003</v>
      </c>
      <c r="H12" s="593" t="n">
        <f aca="false">H11/G11-1</f>
        <v>0.0814999999999999</v>
      </c>
      <c r="I12" s="593" t="n">
        <f aca="false">I11/H11-1</f>
        <v>0.03</v>
      </c>
      <c r="J12" s="593"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4066</v>
      </c>
      <c r="C15" s="360" t="n">
        <f aca="false">'Borderless · Costs'!C20*C7</f>
        <v>16000</v>
      </c>
      <c r="D15" s="360" t="n">
        <f aca="false">'Borderless · Costs'!C20*D7</f>
        <v>16480</v>
      </c>
      <c r="E15" s="360" t="n">
        <f aca="false">'Borderless · Costs'!C20*E7</f>
        <v>16974.4</v>
      </c>
      <c r="F15" s="360" t="n">
        <f aca="false">'Borderless · Costs'!C20*F7</f>
        <v>17483.632</v>
      </c>
      <c r="G15" s="360" t="n">
        <f aca="false">'Borderless · Costs'!C20*G7</f>
        <v>18008.14096</v>
      </c>
      <c r="H15" s="360" t="n">
        <f aca="false">'Borderless · Costs'!C20*H7</f>
        <v>18548.3851888</v>
      </c>
      <c r="I15" s="360" t="n">
        <f aca="false">'Borderless · Costs'!C20*I7</f>
        <v>19104.836744464</v>
      </c>
      <c r="J15" s="360" t="n">
        <f aca="false">'Borderless · Costs'!C20*J7</f>
        <v>19677.9818467979</v>
      </c>
      <c r="K15" s="6"/>
    </row>
    <row r="16" customFormat="false" ht="15" hidden="false" customHeight="true" outlineLevel="0" collapsed="false">
      <c r="B16" s="126" t="s">
        <v>4067</v>
      </c>
      <c r="C16" s="360" t="n">
        <f aca="false">'Borderless · Costs'!C21*C6*C7</f>
        <v>61200</v>
      </c>
      <c r="D16" s="360" t="n">
        <f aca="false">'Borderless · Costs'!C21*D6*D7</f>
        <v>70915.5</v>
      </c>
      <c r="E16" s="360" t="n">
        <f aca="false">'Borderless · Costs'!C21*E6*E7</f>
        <v>81158.85</v>
      </c>
      <c r="F16" s="360" t="n">
        <f aca="false">'Borderless · Costs'!C21*F6*F7</f>
        <v>83593.6155</v>
      </c>
      <c r="G16" s="360" t="n">
        <f aca="false">'Borderless · Costs'!C21*G6*G7</f>
        <v>86101.423965</v>
      </c>
      <c r="H16" s="360" t="n">
        <f aca="false">'Borderless · Costs'!C21*H6*H7</f>
        <v>93118.6900181475</v>
      </c>
      <c r="I16" s="360" t="n">
        <f aca="false">'Borderless · Costs'!C21*I6*I7</f>
        <v>95912.2507186919</v>
      </c>
      <c r="J16" s="360" t="n">
        <f aca="false">'Borderless · Costs'!C21*J6*J7</f>
        <v>98789.6182402527</v>
      </c>
      <c r="K16" s="6"/>
    </row>
    <row r="17" customFormat="false" ht="15" hidden="false" customHeight="true" outlineLevel="0" collapsed="false">
      <c r="B17" s="81" t="s">
        <v>4068</v>
      </c>
      <c r="C17" s="599" t="n">
        <f aca="false">C15+C16</f>
        <v>77200</v>
      </c>
      <c r="D17" s="599" t="n">
        <f aca="false">D15+D16</f>
        <v>87395.5</v>
      </c>
      <c r="E17" s="599" t="n">
        <f aca="false">E15+E16</f>
        <v>98133.25</v>
      </c>
      <c r="F17" s="599" t="n">
        <f aca="false">F15+F16</f>
        <v>101077.2475</v>
      </c>
      <c r="G17" s="599" t="n">
        <f aca="false">G15+G16</f>
        <v>104109.564925</v>
      </c>
      <c r="H17" s="599" t="n">
        <f aca="false">H15+H16</f>
        <v>111667.075206948</v>
      </c>
      <c r="I17" s="599" t="n">
        <f aca="false">I15+I16</f>
        <v>115017.087463156</v>
      </c>
      <c r="J17" s="599" t="n">
        <f aca="false">J15+J16</f>
        <v>118467.600087051</v>
      </c>
      <c r="K17" s="1381" t="n">
        <f aca="false">SUM(C17:J17)</f>
        <v>813067.325182154</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15" hidden="false" customHeight="true" outlineLevel="0" collapsed="false">
      <c r="B20" s="81" t="s">
        <v>3437</v>
      </c>
      <c r="C20" s="577" t="n">
        <f aca="false">C11-C17</f>
        <v>154400</v>
      </c>
      <c r="D20" s="577" t="n">
        <f aca="false">D11-D17</f>
        <v>180971</v>
      </c>
      <c r="E20" s="577" t="n">
        <f aca="false">E11-E17</f>
        <v>208997.3</v>
      </c>
      <c r="F20" s="577" t="n">
        <f aca="false">F11-F17</f>
        <v>215267.219</v>
      </c>
      <c r="G20" s="577" t="n">
        <f aca="false">G11-G17</f>
        <v>221725.23557</v>
      </c>
      <c r="H20" s="577" t="n">
        <f aca="false">H11-H17</f>
        <v>240723.261528395</v>
      </c>
      <c r="I20" s="577" t="n">
        <f aca="false">I11-I17</f>
        <v>247944.959374247</v>
      </c>
      <c r="J20" s="577" t="n">
        <f aca="false">J11-J17</f>
        <v>255383.308155474</v>
      </c>
      <c r="K20" s="1383" t="n">
        <f aca="false">SUM(C20:J20)</f>
        <v>1725412.28362812</v>
      </c>
    </row>
    <row r="21" customFormat="false" ht="15" hidden="false" customHeight="true" outlineLevel="0" collapsed="false">
      <c r="B21" s="1382" t="s">
        <v>4387</v>
      </c>
      <c r="C21" s="593" t="n">
        <f aca="false">C20/C11</f>
        <v>0.666666666666667</v>
      </c>
      <c r="D21" s="593" t="n">
        <f aca="false">D20/D11</f>
        <v>0.674342736518902</v>
      </c>
      <c r="E21" s="593" t="n">
        <f aca="false">E20/E11</f>
        <v>0.680483592400691</v>
      </c>
      <c r="F21" s="593" t="n">
        <f aca="false">F20/F11</f>
        <v>0.680483592400691</v>
      </c>
      <c r="G21" s="593" t="n">
        <f aca="false">G20/G11</f>
        <v>0.680483592400691</v>
      </c>
      <c r="H21" s="593" t="n">
        <f aca="false">H20/H11</f>
        <v>0.6831153877786</v>
      </c>
      <c r="I21" s="593" t="n">
        <f aca="false">I20/I11</f>
        <v>0.6831153877786</v>
      </c>
      <c r="J21" s="593" t="n">
        <f aca="false">J20/J11</f>
        <v>0.6831153877786</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1164" t="s">
        <v>4072</v>
      </c>
      <c r="C24" s="387" t="n">
        <f aca="false">C11</f>
        <v>231600</v>
      </c>
      <c r="D24" s="387" t="n">
        <f aca="false">C24+D11</f>
        <v>499966.5</v>
      </c>
      <c r="E24" s="387" t="n">
        <f aca="false">D24+E11</f>
        <v>807097.05</v>
      </c>
      <c r="F24" s="387" t="n">
        <f aca="false">E24+F11</f>
        <v>1123441.5165</v>
      </c>
      <c r="G24" s="387" t="n">
        <f aca="false">F24+G11</f>
        <v>1449276.316995</v>
      </c>
      <c r="H24" s="387" t="n">
        <f aca="false">G24+H11</f>
        <v>1801666.65373034</v>
      </c>
      <c r="I24" s="387" t="n">
        <f aca="false">H24+I11</f>
        <v>2164628.70056775</v>
      </c>
      <c r="J24" s="387" t="n">
        <f aca="false">I24+J11</f>
        <v>2538479.60881027</v>
      </c>
      <c r="K24" s="6"/>
    </row>
    <row r="25" customFormat="false" ht="15" hidden="false" customHeight="true" outlineLevel="0" collapsed="false">
      <c r="B25" s="1164" t="s">
        <v>4073</v>
      </c>
      <c r="C25" s="387" t="n">
        <f aca="false">C20</f>
        <v>154400</v>
      </c>
      <c r="D25" s="387" t="n">
        <f aca="false">C25+D20</f>
        <v>335371</v>
      </c>
      <c r="E25" s="387" t="n">
        <f aca="false">D25+E20</f>
        <v>544368.3</v>
      </c>
      <c r="F25" s="387" t="n">
        <f aca="false">E25+F20</f>
        <v>759635.519</v>
      </c>
      <c r="G25" s="387" t="n">
        <f aca="false">F25+G20</f>
        <v>981360.75457</v>
      </c>
      <c r="H25" s="387" t="n">
        <f aca="false">G25+H20</f>
        <v>1222084.0160984</v>
      </c>
      <c r="I25" s="387" t="n">
        <f aca="false">H25+I20</f>
        <v>1470028.97547264</v>
      </c>
      <c r="J25" s="387" t="n">
        <f aca="false">I25+J20</f>
        <v>1725412.28362812</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125" t="s">
        <v>5926</v>
      </c>
      <c r="C28" s="125"/>
      <c r="D28" s="125"/>
      <c r="E28" s="125"/>
      <c r="F28" s="125"/>
      <c r="G28" s="125"/>
      <c r="H28" s="125"/>
      <c r="I28" s="125"/>
      <c r="J28" s="125"/>
      <c r="K28" s="125"/>
    </row>
    <row r="29" customFormat="false" ht="21.75" hidden="false" customHeight="true" outlineLevel="0" collapsed="false">
      <c r="B29" s="97" t="s">
        <v>206</v>
      </c>
      <c r="C29" s="98" t="s">
        <v>393</v>
      </c>
      <c r="D29" s="98" t="s">
        <v>778</v>
      </c>
      <c r="K29" s="6"/>
    </row>
    <row r="30" customFormat="false" ht="15" hidden="false" customHeight="true" outlineLevel="0" collapsed="false">
      <c r="B30" s="113" t="s">
        <v>4075</v>
      </c>
      <c r="C30" s="544" t="n">
        <f aca="false">C11</f>
        <v>231600</v>
      </c>
      <c r="D30" s="634" t="s">
        <v>5927</v>
      </c>
      <c r="K30" s="6"/>
    </row>
    <row r="31" customFormat="false" ht="15" hidden="false" customHeight="true" outlineLevel="0" collapsed="false">
      <c r="B31" s="113" t="s">
        <v>4077</v>
      </c>
      <c r="C31" s="544" t="n">
        <f aca="false">J11</f>
        <v>373850.908242525</v>
      </c>
      <c r="D31" s="634" t="s">
        <v>5928</v>
      </c>
      <c r="K31" s="6"/>
    </row>
    <row r="32" customFormat="false" ht="15" hidden="false" customHeight="true" outlineLevel="0" collapsed="false">
      <c r="B32" s="113" t="s">
        <v>3460</v>
      </c>
      <c r="C32" s="544" t="n">
        <f aca="false">K11</f>
        <v>2538479.60881027</v>
      </c>
      <c r="D32" s="634" t="s">
        <v>4079</v>
      </c>
      <c r="K32" s="6"/>
    </row>
    <row r="33" customFormat="false" ht="15" hidden="false" customHeight="true" outlineLevel="0" collapsed="false">
      <c r="B33" s="113" t="s">
        <v>5929</v>
      </c>
      <c r="C33" s="544" t="n">
        <f aca="false">K20</f>
        <v>1725412.28362812</v>
      </c>
      <c r="D33" s="634" t="s">
        <v>4081</v>
      </c>
      <c r="K33" s="6"/>
    </row>
    <row r="34" customFormat="false" ht="15" hidden="false" customHeight="true" outlineLevel="0" collapsed="false">
      <c r="B34" s="113" t="s">
        <v>5930</v>
      </c>
      <c r="C34" s="1288" t="n">
        <f aca="false">K20/K11</f>
        <v>0.679703030758943</v>
      </c>
      <c r="D34" s="634" t="s">
        <v>4083</v>
      </c>
      <c r="K34" s="6"/>
    </row>
    <row r="35" customFormat="false" ht="15" hidden="false" customHeight="true" outlineLevel="0" collapsed="false">
      <c r="B35" s="113" t="s">
        <v>4084</v>
      </c>
      <c r="C35" s="1288" t="n">
        <f aca="false">(J11/C11)^(1/7)-1</f>
        <v>0.0708004745979443</v>
      </c>
      <c r="D35" s="634" t="s">
        <v>4085</v>
      </c>
      <c r="K35" s="6"/>
    </row>
  </sheetData>
  <mergeCells count="8">
    <mergeCell ref="B2:G2"/>
    <mergeCell ref="H2:K2"/>
    <mergeCell ref="B3:K3"/>
    <mergeCell ref="B9:K9"/>
    <mergeCell ref="B14:K14"/>
    <mergeCell ref="B19:K19"/>
    <mergeCell ref="B23:K23"/>
    <mergeCell ref="B28:K2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D69" activeCellId="0" sqref="D69"/>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50.33"/>
    <col collapsed="false" customWidth="true" hidden="false" outlineLevel="0" max="3" min="3" style="0" width="30"/>
    <col collapsed="false" customWidth="true" hidden="false" outlineLevel="0" max="4" min="4" style="0" width="53"/>
    <col collapsed="false" customWidth="true" hidden="false" outlineLevel="0" max="5" min="5" style="0" width="28"/>
    <col collapsed="false" customWidth="true" hidden="false" outlineLevel="0" max="6" min="6" style="0" width="13"/>
    <col collapsed="false" customWidth="true" hidden="false" outlineLevel="0" max="7" min="7" style="0" width="39"/>
    <col collapsed="false" customWidth="true" hidden="false" outlineLevel="0" max="8" min="8" style="0" width="20"/>
    <col collapsed="false" customWidth="true" hidden="false" outlineLevel="0" max="11" min="9" style="0" width="9"/>
  </cols>
  <sheetData>
    <row r="1" customFormat="false" ht="3.75" hidden="false" customHeight="true" outlineLevel="0" collapsed="false">
      <c r="B1" s="1"/>
      <c r="C1" s="2"/>
      <c r="D1" s="2"/>
      <c r="E1" s="2"/>
      <c r="F1" s="1"/>
      <c r="G1" s="1"/>
      <c r="H1" s="2"/>
      <c r="I1" s="2"/>
      <c r="J1" s="2"/>
      <c r="K1" s="2"/>
    </row>
    <row r="2" customFormat="false" ht="36" hidden="false" customHeight="true" outlineLevel="0" collapsed="false">
      <c r="B2" s="88" t="s">
        <v>1713</v>
      </c>
      <c r="C2" s="88"/>
      <c r="D2" s="88"/>
      <c r="E2" s="88"/>
      <c r="F2" s="88"/>
      <c r="G2" s="88"/>
      <c r="H2" s="89" t="s">
        <v>198</v>
      </c>
      <c r="I2" s="89"/>
      <c r="J2" s="89"/>
      <c r="K2" s="89"/>
    </row>
    <row r="3" customFormat="false" ht="36" hidden="false" customHeight="true" outlineLevel="0" collapsed="false">
      <c r="B3" s="90" t="s">
        <v>1714</v>
      </c>
      <c r="C3" s="90"/>
      <c r="D3" s="90"/>
      <c r="E3" s="90"/>
      <c r="F3" s="90"/>
      <c r="G3" s="90"/>
      <c r="H3" s="90"/>
      <c r="I3" s="90"/>
      <c r="J3" s="90"/>
      <c r="K3" s="90"/>
    </row>
    <row r="4" customFormat="false" ht="15" hidden="false" customHeight="true" outlineLevel="0" collapsed="false">
      <c r="B4" s="6"/>
      <c r="F4" s="6"/>
      <c r="G4" s="6"/>
    </row>
    <row r="5" customFormat="false" ht="36" hidden="false" customHeight="true" outlineLevel="0" collapsed="false">
      <c r="B5" s="96" t="s">
        <v>1715</v>
      </c>
      <c r="C5" s="96"/>
      <c r="D5" s="96"/>
      <c r="E5" s="96"/>
      <c r="F5" s="96"/>
      <c r="G5" s="96"/>
      <c r="H5" s="96"/>
      <c r="I5" s="96"/>
      <c r="J5" s="96"/>
      <c r="K5" s="96"/>
    </row>
    <row r="6" customFormat="false" ht="21.75" hidden="false" customHeight="true" outlineLevel="0" collapsed="false">
      <c r="B6" s="97" t="s">
        <v>1527</v>
      </c>
      <c r="C6" s="551" t="s">
        <v>1716</v>
      </c>
      <c r="D6" s="551" t="s">
        <v>1717</v>
      </c>
      <c r="E6" s="98" t="s">
        <v>1718</v>
      </c>
      <c r="F6" s="99" t="s">
        <v>1533</v>
      </c>
      <c r="G6" s="97" t="s">
        <v>778</v>
      </c>
    </row>
    <row r="7" customFormat="false" ht="18" hidden="false" customHeight="true" outlineLevel="0" collapsed="false">
      <c r="B7" s="113" t="s">
        <v>217</v>
      </c>
      <c r="C7" s="552" t="s">
        <v>1719</v>
      </c>
      <c r="D7" s="431" t="s">
        <v>1720</v>
      </c>
      <c r="E7" s="553" t="n">
        <v>117000</v>
      </c>
      <c r="F7" s="55" t="s">
        <v>618</v>
      </c>
      <c r="G7" s="128" t="s">
        <v>1721</v>
      </c>
    </row>
    <row r="8" customFormat="false" ht="18" hidden="false" customHeight="true" outlineLevel="0" collapsed="false">
      <c r="B8" s="113" t="s">
        <v>219</v>
      </c>
      <c r="C8" s="552" t="s">
        <v>1719</v>
      </c>
      <c r="D8" s="431" t="s">
        <v>1722</v>
      </c>
      <c r="E8" s="553" t="n">
        <v>117000</v>
      </c>
      <c r="F8" s="55" t="s">
        <v>618</v>
      </c>
      <c r="G8" s="128" t="s">
        <v>1723</v>
      </c>
    </row>
    <row r="9" customFormat="false" ht="18" hidden="false" customHeight="true" outlineLevel="0" collapsed="false">
      <c r="B9" s="113" t="s">
        <v>151</v>
      </c>
      <c r="C9" s="552" t="s">
        <v>1719</v>
      </c>
      <c r="D9" s="431" t="s">
        <v>1724</v>
      </c>
      <c r="E9" s="553" t="n">
        <v>85000</v>
      </c>
      <c r="F9" s="55" t="s">
        <v>618</v>
      </c>
      <c r="G9" s="128" t="s">
        <v>1723</v>
      </c>
    </row>
    <row r="10" customFormat="false" ht="18" hidden="false" customHeight="true" outlineLevel="0" collapsed="false">
      <c r="B10" s="113" t="s">
        <v>218</v>
      </c>
      <c r="C10" s="552" t="s">
        <v>1719</v>
      </c>
      <c r="D10" s="431" t="s">
        <v>1725</v>
      </c>
      <c r="E10" s="553" t="n">
        <v>180000</v>
      </c>
      <c r="F10" s="55" t="s">
        <v>618</v>
      </c>
      <c r="G10" s="128" t="s">
        <v>1726</v>
      </c>
    </row>
    <row r="11" customFormat="false" ht="18" hidden="false" customHeight="true" outlineLevel="0" collapsed="false">
      <c r="B11" s="113" t="s">
        <v>217</v>
      </c>
      <c r="C11" s="552" t="s">
        <v>1727</v>
      </c>
      <c r="D11" s="431" t="s">
        <v>1728</v>
      </c>
      <c r="E11" s="553" t="n">
        <v>260910</v>
      </c>
      <c r="F11" s="55" t="s">
        <v>614</v>
      </c>
      <c r="G11" s="128" t="s">
        <v>1729</v>
      </c>
    </row>
    <row r="12" customFormat="false" ht="18" hidden="false" customHeight="true" outlineLevel="0" collapsed="false">
      <c r="B12" s="113" t="s">
        <v>151</v>
      </c>
      <c r="C12" s="552" t="s">
        <v>1727</v>
      </c>
      <c r="D12" s="431" t="s">
        <v>1730</v>
      </c>
      <c r="E12" s="554" t="s">
        <v>1550</v>
      </c>
      <c r="F12" s="55" t="s">
        <v>614</v>
      </c>
      <c r="G12" s="128" t="s">
        <v>1731</v>
      </c>
    </row>
    <row r="13" customFormat="false" ht="18" hidden="false" customHeight="true" outlineLevel="0" collapsed="false">
      <c r="B13" s="113" t="s">
        <v>218</v>
      </c>
      <c r="C13" s="552" t="s">
        <v>1732</v>
      </c>
      <c r="D13" s="431" t="s">
        <v>1733</v>
      </c>
      <c r="E13" s="554" t="s">
        <v>1550</v>
      </c>
      <c r="F13" s="55" t="s">
        <v>619</v>
      </c>
      <c r="G13" s="128" t="s">
        <v>1734</v>
      </c>
    </row>
    <row r="14" customFormat="false" ht="18" hidden="false" customHeight="true" outlineLevel="0" collapsed="false">
      <c r="B14" s="113" t="s">
        <v>217</v>
      </c>
      <c r="C14" s="552" t="s">
        <v>1735</v>
      </c>
      <c r="D14" s="431" t="s">
        <v>1736</v>
      </c>
      <c r="E14" s="554" t="s">
        <v>1550</v>
      </c>
      <c r="F14" s="55" t="s">
        <v>1737</v>
      </c>
      <c r="G14" s="128" t="s">
        <v>1738</v>
      </c>
    </row>
    <row r="15" customFormat="false" ht="18" hidden="false" customHeight="true" outlineLevel="0" collapsed="false">
      <c r="B15" s="113" t="s">
        <v>145</v>
      </c>
      <c r="C15" s="552" t="s">
        <v>1739</v>
      </c>
      <c r="D15" s="431" t="s">
        <v>1740</v>
      </c>
      <c r="E15" s="553" t="n">
        <v>36000</v>
      </c>
      <c r="F15" s="55" t="s">
        <v>620</v>
      </c>
      <c r="G15" s="128" t="s">
        <v>1741</v>
      </c>
    </row>
    <row r="16" customFormat="false" ht="18" hidden="false" customHeight="true" outlineLevel="0" collapsed="false">
      <c r="B16" s="113" t="s">
        <v>157</v>
      </c>
      <c r="C16" s="552" t="s">
        <v>1742</v>
      </c>
      <c r="D16" s="431" t="s">
        <v>1743</v>
      </c>
      <c r="E16" s="553" t="n">
        <v>121900</v>
      </c>
      <c r="F16" s="55" t="s">
        <v>617</v>
      </c>
      <c r="G16" s="128" t="s">
        <v>1744</v>
      </c>
    </row>
    <row r="17" customFormat="false" ht="18" hidden="false" customHeight="true" outlineLevel="0" collapsed="false">
      <c r="B17" s="113" t="s">
        <v>153</v>
      </c>
      <c r="C17" s="552" t="s">
        <v>1745</v>
      </c>
      <c r="D17" s="431" t="s">
        <v>1746</v>
      </c>
      <c r="E17" s="553" t="n">
        <v>432500</v>
      </c>
      <c r="F17" s="55" t="s">
        <v>619</v>
      </c>
      <c r="G17" s="128" t="s">
        <v>1747</v>
      </c>
    </row>
    <row r="18" customFormat="false" ht="18" hidden="false" customHeight="true" outlineLevel="0" collapsed="false">
      <c r="B18" s="113" t="s">
        <v>155</v>
      </c>
      <c r="C18" s="552" t="s">
        <v>1748</v>
      </c>
      <c r="D18" s="431" t="s">
        <v>1749</v>
      </c>
      <c r="E18" s="553" t="n">
        <v>285000</v>
      </c>
      <c r="F18" s="55" t="s">
        <v>620</v>
      </c>
      <c r="G18" s="128" t="s">
        <v>1750</v>
      </c>
    </row>
    <row r="19" customFormat="false" ht="15" hidden="false" customHeight="true" outlineLevel="0" collapsed="false">
      <c r="B19" s="6"/>
      <c r="F19" s="6"/>
      <c r="G19" s="6"/>
    </row>
    <row r="20" customFormat="false" ht="15" hidden="false" customHeight="true" outlineLevel="0" collapsed="false">
      <c r="B20" s="6"/>
      <c r="F20" s="6"/>
      <c r="G20" s="6"/>
    </row>
    <row r="21" customFormat="false" ht="21.75" hidden="false" customHeight="true" outlineLevel="0" collapsed="false">
      <c r="B21" s="555" t="s">
        <v>1751</v>
      </c>
      <c r="C21" s="555"/>
      <c r="D21" s="555"/>
      <c r="E21" s="555"/>
      <c r="F21" s="555"/>
      <c r="G21" s="555"/>
      <c r="H21" s="555"/>
      <c r="I21" s="555"/>
      <c r="J21" s="555"/>
      <c r="K21" s="555"/>
    </row>
    <row r="22" customFormat="false" ht="126" hidden="false" customHeight="true" outlineLevel="0" collapsed="false">
      <c r="B22" s="556" t="s">
        <v>1752</v>
      </c>
      <c r="C22" s="556"/>
      <c r="D22" s="556"/>
      <c r="E22" s="556"/>
      <c r="F22" s="556"/>
      <c r="G22" s="556"/>
    </row>
    <row r="23" customFormat="false" ht="15" hidden="false" customHeight="true" outlineLevel="0" collapsed="false">
      <c r="B23" s="556"/>
      <c r="C23" s="556"/>
      <c r="D23" s="556"/>
      <c r="E23" s="556"/>
      <c r="F23" s="556"/>
      <c r="G23" s="556"/>
    </row>
    <row r="24" customFormat="false" ht="15" hidden="false" customHeight="true" outlineLevel="0" collapsed="false">
      <c r="B24" s="556"/>
      <c r="C24" s="556"/>
      <c r="D24" s="556"/>
      <c r="E24" s="556"/>
      <c r="F24" s="556"/>
      <c r="G24" s="556"/>
    </row>
    <row r="25" customFormat="false" ht="15" hidden="false" customHeight="true" outlineLevel="0" collapsed="false">
      <c r="B25" s="556"/>
      <c r="C25" s="556"/>
      <c r="D25" s="556"/>
      <c r="E25" s="556"/>
      <c r="F25" s="556"/>
      <c r="G25" s="556"/>
    </row>
    <row r="26" customFormat="false" ht="15" hidden="false" customHeight="true" outlineLevel="0" collapsed="false">
      <c r="B26" s="6"/>
      <c r="F26" s="6"/>
      <c r="G26" s="6"/>
    </row>
    <row r="27" customFormat="false" ht="15" hidden="false" customHeight="true" outlineLevel="0" collapsed="false">
      <c r="B27" s="6"/>
      <c r="F27" s="6"/>
      <c r="G27" s="6"/>
    </row>
    <row r="28" customFormat="false" ht="21.75" hidden="false" customHeight="true" outlineLevel="0" collapsed="false">
      <c r="B28" s="125" t="s">
        <v>1753</v>
      </c>
      <c r="C28" s="125"/>
      <c r="D28" s="125"/>
      <c r="E28" s="125"/>
      <c r="F28" s="125"/>
      <c r="G28" s="125"/>
      <c r="H28" s="125"/>
      <c r="I28" s="125"/>
      <c r="J28" s="125"/>
      <c r="K28" s="125"/>
    </row>
    <row r="29" customFormat="false" ht="15" hidden="false" customHeight="true" outlineLevel="0" collapsed="false">
      <c r="B29" s="97" t="s">
        <v>136</v>
      </c>
      <c r="C29" s="551" t="s">
        <v>1754</v>
      </c>
      <c r="D29" s="551" t="s">
        <v>1755</v>
      </c>
      <c r="F29" s="6"/>
      <c r="G29" s="6"/>
    </row>
    <row r="30" customFormat="false" ht="16.5" hidden="false" customHeight="true" outlineLevel="0" collapsed="false">
      <c r="B30" s="113" t="s">
        <v>217</v>
      </c>
      <c r="C30" s="557" t="s">
        <v>1756</v>
      </c>
      <c r="D30" s="431" t="s">
        <v>1757</v>
      </c>
      <c r="F30" s="6"/>
      <c r="G30" s="6"/>
    </row>
    <row r="31" customFormat="false" ht="16.5" hidden="false" customHeight="true" outlineLevel="0" collapsed="false">
      <c r="B31" s="113" t="s">
        <v>218</v>
      </c>
      <c r="C31" s="557" t="s">
        <v>1758</v>
      </c>
      <c r="D31" s="431" t="s">
        <v>1759</v>
      </c>
      <c r="F31" s="6"/>
      <c r="G31" s="6"/>
    </row>
    <row r="32" customFormat="false" ht="16.5" hidden="false" customHeight="true" outlineLevel="0" collapsed="false">
      <c r="B32" s="113" t="s">
        <v>145</v>
      </c>
      <c r="C32" s="557" t="s">
        <v>1760</v>
      </c>
      <c r="D32" s="431" t="s">
        <v>1761</v>
      </c>
      <c r="F32" s="6"/>
      <c r="G32" s="6"/>
    </row>
    <row r="33" customFormat="false" ht="16.5" hidden="false" customHeight="true" outlineLevel="0" collapsed="false">
      <c r="B33" s="113" t="s">
        <v>219</v>
      </c>
      <c r="C33" s="557" t="s">
        <v>1762</v>
      </c>
      <c r="D33" s="431" t="s">
        <v>1763</v>
      </c>
      <c r="F33" s="6"/>
      <c r="G33" s="6"/>
    </row>
    <row r="34" customFormat="false" ht="16.5" hidden="false" customHeight="true" outlineLevel="0" collapsed="false">
      <c r="B34" s="113" t="s">
        <v>151</v>
      </c>
      <c r="C34" s="557" t="s">
        <v>1764</v>
      </c>
      <c r="D34" s="431" t="s">
        <v>1765</v>
      </c>
      <c r="F34" s="6"/>
      <c r="G34" s="6"/>
    </row>
    <row r="35" customFormat="false" ht="16.5" hidden="false" customHeight="true" outlineLevel="0" collapsed="false">
      <c r="B35" s="113" t="s">
        <v>157</v>
      </c>
      <c r="C35" s="557" t="s">
        <v>1766</v>
      </c>
      <c r="D35" s="431" t="s">
        <v>1767</v>
      </c>
      <c r="F35" s="6"/>
      <c r="G35" s="6"/>
    </row>
    <row r="36" customFormat="false" ht="16.5" hidden="false" customHeight="true" outlineLevel="0" collapsed="false">
      <c r="B36" s="113" t="s">
        <v>143</v>
      </c>
      <c r="C36" s="557" t="s">
        <v>1768</v>
      </c>
      <c r="D36" s="431" t="s">
        <v>1769</v>
      </c>
      <c r="F36" s="6"/>
      <c r="G36" s="6"/>
    </row>
    <row r="37" customFormat="false" ht="16.5" hidden="false" customHeight="true" outlineLevel="0" collapsed="false">
      <c r="B37" s="113" t="s">
        <v>153</v>
      </c>
      <c r="C37" s="557" t="s">
        <v>1770</v>
      </c>
      <c r="D37" s="431" t="s">
        <v>1771</v>
      </c>
      <c r="F37" s="6"/>
      <c r="G37" s="6"/>
    </row>
    <row r="38" customFormat="false" ht="16.5" hidden="false" customHeight="true" outlineLevel="0" collapsed="false">
      <c r="B38" s="113" t="s">
        <v>155</v>
      </c>
      <c r="C38" s="557" t="s">
        <v>1772</v>
      </c>
      <c r="D38" s="431" t="s">
        <v>1773</v>
      </c>
      <c r="F38" s="6"/>
      <c r="G38" s="6"/>
    </row>
    <row r="39" customFormat="false" ht="15" hidden="false" customHeight="true" outlineLevel="0" collapsed="false">
      <c r="B39" s="6"/>
      <c r="F39" s="6"/>
      <c r="G39" s="6"/>
    </row>
    <row r="40" customFormat="false" ht="15" hidden="false" customHeight="true" outlineLevel="0" collapsed="false">
      <c r="B40" s="6"/>
      <c r="F40" s="6"/>
      <c r="G40" s="6"/>
    </row>
    <row r="41" customFormat="false" ht="36" hidden="false" customHeight="true" outlineLevel="0" collapsed="false">
      <c r="B41" s="179" t="s">
        <v>1774</v>
      </c>
      <c r="F41" s="6"/>
      <c r="G41" s="6"/>
    </row>
    <row r="42" customFormat="false" ht="15" hidden="false" customHeight="true" outlineLevel="0" collapsed="false">
      <c r="B42" s="6"/>
      <c r="F42" s="6"/>
      <c r="G42" s="6"/>
    </row>
    <row r="43" customFormat="false" ht="36" hidden="false" customHeight="true" outlineLevel="0" collapsed="false">
      <c r="B43" s="180" t="s">
        <v>1775</v>
      </c>
      <c r="F43" s="6"/>
      <c r="G43" s="6"/>
    </row>
    <row r="44" customFormat="false" ht="15" hidden="false" customHeight="true" outlineLevel="0" collapsed="false">
      <c r="B44" s="6"/>
      <c r="F44" s="6"/>
      <c r="G44" s="6"/>
    </row>
    <row r="45" customFormat="false" ht="36" hidden="false" customHeight="true" outlineLevel="0" collapsed="false">
      <c r="B45" s="180" t="s">
        <v>1776</v>
      </c>
      <c r="F45" s="6"/>
      <c r="G45" s="6"/>
    </row>
    <row r="46" customFormat="false" ht="66" hidden="false" customHeight="true" outlineLevel="0" collapsed="false">
      <c r="B46" s="6" t="s">
        <v>1777</v>
      </c>
      <c r="F46" s="6"/>
      <c r="G46" s="6"/>
    </row>
    <row r="47" customFormat="false" ht="15" hidden="false" customHeight="true" outlineLevel="0" collapsed="false">
      <c r="B47" s="6"/>
      <c r="F47" s="6"/>
      <c r="G47" s="6"/>
    </row>
    <row r="48" customFormat="false" ht="36" hidden="false" customHeight="true" outlineLevel="0" collapsed="false">
      <c r="B48" s="180" t="s">
        <v>1778</v>
      </c>
      <c r="F48" s="6"/>
      <c r="G48" s="6"/>
    </row>
    <row r="49" customFormat="false" ht="15" hidden="false" customHeight="true" outlineLevel="0" collapsed="false">
      <c r="B49" s="6" t="s">
        <v>1779</v>
      </c>
      <c r="F49" s="6"/>
      <c r="G49" s="6"/>
    </row>
    <row r="50" customFormat="false" ht="36" hidden="false" customHeight="true" outlineLevel="0" collapsed="false">
      <c r="B50" s="6" t="s">
        <v>1780</v>
      </c>
      <c r="F50" s="6"/>
      <c r="G50" s="6"/>
    </row>
    <row r="51" customFormat="false" ht="36" hidden="false" customHeight="true" outlineLevel="0" collapsed="false">
      <c r="B51" s="6" t="s">
        <v>1781</v>
      </c>
      <c r="F51" s="6"/>
      <c r="G51" s="6"/>
    </row>
    <row r="52" customFormat="false" ht="36" hidden="false" customHeight="true" outlineLevel="0" collapsed="false">
      <c r="B52" s="6" t="s">
        <v>1782</v>
      </c>
      <c r="F52" s="6"/>
      <c r="G52" s="6"/>
    </row>
    <row r="53" customFormat="false" ht="15" hidden="false" customHeight="true" outlineLevel="0" collapsed="false">
      <c r="B53" s="6" t="s">
        <v>1783</v>
      </c>
      <c r="F53" s="6"/>
      <c r="G53" s="6"/>
    </row>
    <row r="54" customFormat="false" ht="36" hidden="false" customHeight="true" outlineLevel="0" collapsed="false">
      <c r="B54" s="6" t="s">
        <v>1784</v>
      </c>
      <c r="F54" s="6"/>
      <c r="G54" s="6"/>
    </row>
    <row r="55" customFormat="false" ht="15" hidden="false" customHeight="true" outlineLevel="0" collapsed="false">
      <c r="B55" s="6"/>
      <c r="F55" s="6"/>
      <c r="G55" s="6"/>
    </row>
    <row r="56" customFormat="false" ht="36" hidden="false" customHeight="true" outlineLevel="0" collapsed="false">
      <c r="B56" s="180" t="s">
        <v>1785</v>
      </c>
      <c r="F56" s="6"/>
      <c r="G56" s="6"/>
    </row>
    <row r="57" customFormat="false" ht="15" hidden="false" customHeight="true" outlineLevel="0" collapsed="false">
      <c r="B57" s="6"/>
      <c r="F57" s="6"/>
      <c r="G57" s="6"/>
    </row>
    <row r="58" customFormat="false" ht="15" hidden="false" customHeight="true" outlineLevel="0" collapsed="false">
      <c r="B58" s="180" t="s">
        <v>1786</v>
      </c>
      <c r="C58" s="181" t="s">
        <v>1787</v>
      </c>
      <c r="D58" s="181" t="s">
        <v>1684</v>
      </c>
      <c r="E58" s="181" t="s">
        <v>1788</v>
      </c>
      <c r="F58" s="6"/>
      <c r="G58" s="6"/>
    </row>
    <row r="59" customFormat="false" ht="15" hidden="false" customHeight="true" outlineLevel="0" collapsed="false">
      <c r="B59" s="6" t="s">
        <v>1789</v>
      </c>
      <c r="C59" s="0" t="s">
        <v>1538</v>
      </c>
      <c r="D59" s="0" t="s">
        <v>1790</v>
      </c>
      <c r="E59" s="0" t="s">
        <v>1791</v>
      </c>
      <c r="F59" s="6"/>
      <c r="G59" s="6"/>
    </row>
    <row r="60" customFormat="false" ht="15" hidden="false" customHeight="true" outlineLevel="0" collapsed="false">
      <c r="B60" s="6" t="s">
        <v>1792</v>
      </c>
      <c r="C60" s="0" t="s">
        <v>1538</v>
      </c>
      <c r="D60" s="0" t="s">
        <v>1793</v>
      </c>
      <c r="E60" s="0" t="s">
        <v>1794</v>
      </c>
      <c r="F60" s="6"/>
      <c r="G60" s="6"/>
    </row>
    <row r="61" customFormat="false" ht="15" hidden="false" customHeight="true" outlineLevel="0" collapsed="false">
      <c r="B61" s="6" t="s">
        <v>1795</v>
      </c>
      <c r="C61" s="0" t="s">
        <v>1538</v>
      </c>
      <c r="D61" s="0" t="s">
        <v>1796</v>
      </c>
      <c r="E61" s="0" t="s">
        <v>1797</v>
      </c>
      <c r="F61" s="6"/>
      <c r="G61" s="6"/>
    </row>
    <row r="62" customFormat="false" ht="15" hidden="false" customHeight="true" outlineLevel="0" collapsed="false">
      <c r="B62" s="6" t="s">
        <v>1798</v>
      </c>
      <c r="C62" s="0" t="s">
        <v>1538</v>
      </c>
      <c r="D62" s="0" t="s">
        <v>1799</v>
      </c>
      <c r="E62" s="0" t="s">
        <v>1800</v>
      </c>
      <c r="F62" s="6"/>
      <c r="G62" s="6"/>
    </row>
    <row r="63" customFormat="false" ht="15" hidden="false" customHeight="true" outlineLevel="0" collapsed="false">
      <c r="B63" s="6" t="s">
        <v>1789</v>
      </c>
      <c r="C63" s="0" t="s">
        <v>1534</v>
      </c>
      <c r="D63" s="0" t="s">
        <v>1801</v>
      </c>
      <c r="E63" s="0" t="s">
        <v>1802</v>
      </c>
      <c r="F63" s="6"/>
      <c r="G63" s="6"/>
    </row>
    <row r="64" customFormat="false" ht="15" hidden="false" customHeight="true" outlineLevel="0" collapsed="false">
      <c r="B64" s="6" t="s">
        <v>1795</v>
      </c>
      <c r="C64" s="0" t="s">
        <v>1534</v>
      </c>
      <c r="D64" s="0" t="s">
        <v>1803</v>
      </c>
      <c r="E64" s="0" t="s">
        <v>1804</v>
      </c>
      <c r="F64" s="6"/>
      <c r="G64" s="6"/>
    </row>
    <row r="65" customFormat="false" ht="15" hidden="false" customHeight="true" outlineLevel="0" collapsed="false">
      <c r="B65" s="6" t="s">
        <v>1792</v>
      </c>
      <c r="C65" s="0" t="s">
        <v>1547</v>
      </c>
      <c r="D65" s="0" t="s">
        <v>771</v>
      </c>
      <c r="E65" s="0" t="s">
        <v>1805</v>
      </c>
      <c r="F65" s="6"/>
      <c r="G65" s="6"/>
    </row>
    <row r="66" customFormat="false" ht="15" hidden="false" customHeight="true" outlineLevel="0" collapsed="false">
      <c r="B66" s="6" t="s">
        <v>1806</v>
      </c>
      <c r="C66" s="0" t="s">
        <v>1807</v>
      </c>
      <c r="D66" s="0" t="s">
        <v>1808</v>
      </c>
      <c r="E66" s="0" t="s">
        <v>1809</v>
      </c>
      <c r="F66" s="6"/>
      <c r="G66" s="6"/>
    </row>
    <row r="67" customFormat="false" ht="15" hidden="false" customHeight="true" outlineLevel="0" collapsed="false">
      <c r="B67" s="6"/>
      <c r="F67" s="6"/>
      <c r="G67" s="6"/>
    </row>
    <row r="68" customFormat="false" ht="15" hidden="false" customHeight="true" outlineLevel="0" collapsed="false">
      <c r="B68" s="6"/>
      <c r="F68" s="6"/>
      <c r="G68" s="6"/>
    </row>
    <row r="69" customFormat="false" ht="15" hidden="false" customHeight="true" outlineLevel="0" collapsed="false">
      <c r="B69" s="180" t="s">
        <v>1810</v>
      </c>
      <c r="F69" s="6"/>
      <c r="G69" s="6"/>
    </row>
    <row r="70" customFormat="false" ht="36" hidden="false" customHeight="true" outlineLevel="0" collapsed="false">
      <c r="B70" s="6" t="s">
        <v>1811</v>
      </c>
      <c r="F70" s="6"/>
      <c r="G70" s="6"/>
    </row>
    <row r="71" customFormat="false" ht="36" hidden="false" customHeight="true" outlineLevel="0" collapsed="false">
      <c r="B71" s="6" t="s">
        <v>1812</v>
      </c>
      <c r="F71" s="6"/>
      <c r="G71" s="6"/>
    </row>
    <row r="72" customFormat="false" ht="36" hidden="false" customHeight="true" outlineLevel="0" collapsed="false">
      <c r="B72" s="6" t="s">
        <v>1813</v>
      </c>
      <c r="F72" s="6"/>
      <c r="G72" s="6"/>
    </row>
    <row r="73" customFormat="false" ht="36" hidden="false" customHeight="true" outlineLevel="0" collapsed="false">
      <c r="B73" s="6" t="s">
        <v>1814</v>
      </c>
      <c r="F73" s="6"/>
      <c r="G73" s="6"/>
    </row>
    <row r="74" customFormat="false" ht="36" hidden="false" customHeight="true" outlineLevel="0" collapsed="false">
      <c r="B74" s="6" t="s">
        <v>1815</v>
      </c>
      <c r="F74" s="6"/>
      <c r="G74" s="6"/>
    </row>
    <row r="75" customFormat="false" ht="15" hidden="false" customHeight="true" outlineLevel="0" collapsed="false">
      <c r="B75" s="6"/>
      <c r="F75" s="6"/>
      <c r="G75" s="6"/>
    </row>
    <row r="76" customFormat="false" ht="81" hidden="false" customHeight="true" outlineLevel="0" collapsed="false">
      <c r="B76" s="165" t="s">
        <v>1816</v>
      </c>
      <c r="F76" s="6"/>
      <c r="G76" s="6"/>
    </row>
    <row r="77" customFormat="false" ht="15" hidden="false" customHeight="true" outlineLevel="0" collapsed="false">
      <c r="B77" s="6"/>
      <c r="F77" s="6"/>
      <c r="G77" s="6"/>
    </row>
    <row r="78" customFormat="false" ht="36" hidden="false" customHeight="true" outlineLevel="0" collapsed="false">
      <c r="B78" s="179" t="s">
        <v>1817</v>
      </c>
      <c r="F78" s="6"/>
      <c r="G78" s="6"/>
    </row>
    <row r="79" customFormat="false" ht="15" hidden="false" customHeight="true" outlineLevel="0" collapsed="false">
      <c r="B79" s="6"/>
      <c r="F79" s="6"/>
      <c r="G79" s="6"/>
    </row>
    <row r="80" customFormat="false" ht="15" hidden="false" customHeight="true" outlineLevel="0" collapsed="false">
      <c r="B80" s="180" t="s">
        <v>1818</v>
      </c>
      <c r="C80" s="181" t="s">
        <v>1819</v>
      </c>
      <c r="D80" s="181" t="s">
        <v>1820</v>
      </c>
      <c r="F80" s="6"/>
      <c r="G80" s="6"/>
    </row>
    <row r="81" customFormat="false" ht="15" hidden="false" customHeight="true" outlineLevel="0" collapsed="false">
      <c r="B81" s="6" t="s">
        <v>612</v>
      </c>
      <c r="C81" s="558" t="s">
        <v>1821</v>
      </c>
      <c r="D81" s="0" t="s">
        <v>1822</v>
      </c>
      <c r="F81" s="6"/>
      <c r="G81" s="6"/>
    </row>
    <row r="82" customFormat="false" ht="15" hidden="false" customHeight="true" outlineLevel="0" collapsed="false">
      <c r="B82" s="6" t="s">
        <v>613</v>
      </c>
      <c r="C82" s="558" t="s">
        <v>1823</v>
      </c>
      <c r="D82" s="0" t="s">
        <v>1824</v>
      </c>
      <c r="F82" s="6"/>
      <c r="G82" s="6"/>
    </row>
    <row r="83" customFormat="false" ht="15" hidden="false" customHeight="true" outlineLevel="0" collapsed="false">
      <c r="B83" s="6" t="s">
        <v>614</v>
      </c>
      <c r="C83" s="558" t="s">
        <v>1825</v>
      </c>
      <c r="D83" s="0" t="s">
        <v>1826</v>
      </c>
      <c r="F83" s="6"/>
      <c r="G83" s="6"/>
    </row>
    <row r="84" customFormat="false" ht="15" hidden="false" customHeight="true" outlineLevel="0" collapsed="false">
      <c r="B84" s="6" t="s">
        <v>615</v>
      </c>
      <c r="C84" s="558" t="s">
        <v>1827</v>
      </c>
      <c r="D84" s="0" t="s">
        <v>1828</v>
      </c>
      <c r="F84" s="6"/>
      <c r="G84" s="6"/>
    </row>
    <row r="85" customFormat="false" ht="15" hidden="false" customHeight="true" outlineLevel="0" collapsed="false">
      <c r="B85" s="6" t="s">
        <v>616</v>
      </c>
      <c r="C85" s="558" t="s">
        <v>1829</v>
      </c>
      <c r="D85" s="0" t="s">
        <v>1830</v>
      </c>
      <c r="F85" s="6"/>
      <c r="G85" s="6"/>
    </row>
    <row r="86" customFormat="false" ht="15" hidden="false" customHeight="true" outlineLevel="0" collapsed="false">
      <c r="B86" s="6"/>
      <c r="C86" s="559" t="s">
        <v>1831</v>
      </c>
      <c r="F86" s="6"/>
      <c r="G86" s="6"/>
    </row>
    <row r="87" customFormat="false" ht="66" hidden="false" customHeight="true" outlineLevel="0" collapsed="false">
      <c r="B87" s="165" t="s">
        <v>1832</v>
      </c>
      <c r="F87" s="6"/>
      <c r="G87" s="6"/>
    </row>
    <row r="90" customFormat="false" ht="19.5" hidden="false" customHeight="true" outlineLevel="0" collapsed="false">
      <c r="B90" s="140" t="s">
        <v>1833</v>
      </c>
      <c r="C90" s="140"/>
      <c r="D90" s="140"/>
      <c r="E90" s="140"/>
      <c r="F90" s="140"/>
      <c r="G90" s="140"/>
    </row>
    <row r="92" customFormat="false" ht="19.5" hidden="false" customHeight="true" outlineLevel="0" collapsed="false">
      <c r="B92" s="188" t="s">
        <v>1112</v>
      </c>
      <c r="C92" s="188" t="s">
        <v>1834</v>
      </c>
      <c r="D92" s="188" t="s">
        <v>1835</v>
      </c>
    </row>
    <row r="93" customFormat="false" ht="19.5" hidden="false" customHeight="true" outlineLevel="0" collapsed="false">
      <c r="B93" s="0" t="s">
        <v>1836</v>
      </c>
      <c r="C93" s="142" t="n">
        <f aca="false">'Events · Drivers'!C40</f>
        <v>346500</v>
      </c>
      <c r="D93" s="0" t="s">
        <v>1837</v>
      </c>
    </row>
    <row r="94" customFormat="false" ht="19.5" hidden="false" customHeight="true" outlineLevel="0" collapsed="false">
      <c r="B94" s="0" t="s">
        <v>1838</v>
      </c>
      <c r="C94" s="142" t="n">
        <f aca="false">'Events · Revenue'!E10</f>
        <v>103950</v>
      </c>
      <c r="D94" s="0" t="s">
        <v>1839</v>
      </c>
    </row>
    <row r="95" customFormat="false" ht="19.5" hidden="false" customHeight="true" outlineLevel="0" collapsed="false">
      <c r="B95" s="0" t="s">
        <v>1840</v>
      </c>
      <c r="C95" s="142" t="n">
        <f aca="false">'F&amp;B · Drivers'!C52*'F&amp;B · Drivers'!C39</f>
        <v>237600</v>
      </c>
      <c r="D95" s="0" t="s">
        <v>1841</v>
      </c>
    </row>
    <row r="96" customFormat="false" ht="19.5" hidden="false" customHeight="true" outlineLevel="0" collapsed="false">
      <c r="B96" s="188" t="s">
        <v>1842</v>
      </c>
      <c r="C96" s="151" t="n">
        <f aca="false">C94+C95</f>
        <v>341550</v>
      </c>
      <c r="D96" s="0" t="s">
        <v>1843</v>
      </c>
    </row>
    <row r="97" customFormat="false" ht="19.5" hidden="false" customHeight="true" outlineLevel="0" collapsed="false">
      <c r="B97" s="188" t="s">
        <v>1844</v>
      </c>
      <c r="C97" s="560" t="n">
        <f aca="false">C96-C93</f>
        <v>-4950</v>
      </c>
    </row>
    <row r="98" customFormat="false" ht="31.5" hidden="false" customHeight="true" outlineLevel="0" collapsed="false">
      <c r="B98" s="154" t="s">
        <v>1845</v>
      </c>
      <c r="C98" s="154"/>
      <c r="D98" s="154"/>
      <c r="E98" s="154"/>
      <c r="F98" s="154"/>
      <c r="G98" s="154"/>
    </row>
    <row r="100" customFormat="false" ht="15" hidden="false" customHeight="true" outlineLevel="0" collapsed="false">
      <c r="B100" s="140" t="s">
        <v>1846</v>
      </c>
      <c r="C100" s="140"/>
      <c r="D100" s="140"/>
      <c r="E100" s="140"/>
      <c r="F100" s="140"/>
      <c r="G100" s="140"/>
    </row>
    <row r="102" customFormat="false" ht="15" hidden="false" customHeight="true" outlineLevel="0" collapsed="false">
      <c r="B102" s="188" t="s">
        <v>136</v>
      </c>
      <c r="C102" s="188" t="s">
        <v>137</v>
      </c>
      <c r="D102" s="188" t="s">
        <v>1847</v>
      </c>
      <c r="E102" s="188" t="s">
        <v>1848</v>
      </c>
    </row>
    <row r="103" customFormat="false" ht="21.75" hidden="false" customHeight="true" outlineLevel="0" collapsed="false">
      <c r="B103" s="0" t="s">
        <v>217</v>
      </c>
      <c r="C103" s="142" t="n">
        <f aca="false">'Master Revenue'!I7</f>
        <v>1000998.35</v>
      </c>
      <c r="D103" s="143" t="s">
        <v>1849</v>
      </c>
      <c r="E103" s="143" t="s">
        <v>1850</v>
      </c>
    </row>
    <row r="104" customFormat="false" ht="21.75" hidden="false" customHeight="true" outlineLevel="0" collapsed="false">
      <c r="B104" s="0" t="s">
        <v>218</v>
      </c>
      <c r="C104" s="142" t="n">
        <f aca="false">'Master Revenue'!I8</f>
        <v>1206210</v>
      </c>
      <c r="D104" s="143" t="s">
        <v>1851</v>
      </c>
      <c r="E104" s="143" t="s">
        <v>1852</v>
      </c>
    </row>
    <row r="105" customFormat="false" ht="21.75" hidden="false" customHeight="true" outlineLevel="0" collapsed="false">
      <c r="B105" s="0" t="s">
        <v>145</v>
      </c>
      <c r="C105" s="142" t="n">
        <f aca="false">'Master Revenue'!I9</f>
        <v>1595070</v>
      </c>
      <c r="D105" s="143" t="s">
        <v>1853</v>
      </c>
      <c r="E105" s="143" t="s">
        <v>1854</v>
      </c>
    </row>
    <row r="106" customFormat="false" ht="21.75" hidden="false" customHeight="true" outlineLevel="0" collapsed="false">
      <c r="B106" s="0" t="s">
        <v>219</v>
      </c>
      <c r="C106" s="142" t="n">
        <f aca="false">'Master Revenue'!I10</f>
        <v>693656.4</v>
      </c>
      <c r="D106" s="143" t="s">
        <v>1855</v>
      </c>
      <c r="E106" s="143" t="s">
        <v>1856</v>
      </c>
    </row>
    <row r="107" customFormat="false" ht="21.75" hidden="false" customHeight="true" outlineLevel="0" collapsed="false">
      <c r="B107" s="0" t="s">
        <v>151</v>
      </c>
      <c r="C107" s="142" t="n">
        <f aca="false">'Master Revenue'!I11</f>
        <v>488873.1</v>
      </c>
      <c r="D107" s="143" t="s">
        <v>1855</v>
      </c>
      <c r="E107" s="143" t="s">
        <v>1857</v>
      </c>
    </row>
    <row r="108" customFormat="false" ht="21.75" hidden="false" customHeight="true" outlineLevel="0" collapsed="false">
      <c r="B108" s="0" t="s">
        <v>157</v>
      </c>
      <c r="C108" s="142" t="n">
        <f aca="false">'Master Revenue'!I12</f>
        <v>321000</v>
      </c>
      <c r="D108" s="143" t="s">
        <v>1858</v>
      </c>
      <c r="E108" s="143" t="s">
        <v>1859</v>
      </c>
    </row>
    <row r="109" customFormat="false" ht="21.75" hidden="false" customHeight="true" outlineLevel="0" collapsed="false">
      <c r="B109" s="0" t="s">
        <v>143</v>
      </c>
      <c r="C109" s="142" t="n">
        <f aca="false">'Master Revenue'!I13</f>
        <v>789714.3</v>
      </c>
      <c r="D109" s="143" t="s">
        <v>1860</v>
      </c>
      <c r="E109" s="143" t="s">
        <v>1861</v>
      </c>
    </row>
    <row r="110" customFormat="false" ht="21.75" hidden="false" customHeight="true" outlineLevel="0" collapsed="false">
      <c r="B110" s="0" t="s">
        <v>153</v>
      </c>
      <c r="C110" s="142" t="n">
        <f aca="false">'Master Revenue'!I14</f>
        <v>287000</v>
      </c>
      <c r="D110" s="143" t="s">
        <v>1862</v>
      </c>
      <c r="E110" s="143" t="s">
        <v>1863</v>
      </c>
    </row>
    <row r="111" customFormat="false" ht="21.75" hidden="false" customHeight="true" outlineLevel="0" collapsed="false">
      <c r="B111" s="0" t="s">
        <v>155</v>
      </c>
      <c r="C111" s="142" t="n">
        <f aca="false">'Master Revenue'!I15</f>
        <v>289500</v>
      </c>
      <c r="D111" s="143" t="s">
        <v>1864</v>
      </c>
      <c r="E111" s="143" t="s">
        <v>1865</v>
      </c>
    </row>
    <row r="112" customFormat="false" ht="15" hidden="false" customHeight="true" outlineLevel="0" collapsed="false">
      <c r="B112" s="188" t="s">
        <v>220</v>
      </c>
      <c r="C112" s="151" t="n">
        <f aca="false">SUM(C103:C111)</f>
        <v>6672022.15</v>
      </c>
    </row>
    <row r="114" customFormat="false" ht="60" hidden="false" customHeight="true" outlineLevel="0" collapsed="false">
      <c r="B114" s="154" t="s">
        <v>1866</v>
      </c>
      <c r="C114" s="154"/>
      <c r="D114" s="154"/>
      <c r="E114" s="154"/>
      <c r="F114" s="154"/>
      <c r="G114" s="154"/>
    </row>
  </sheetData>
  <mergeCells count="11">
    <mergeCell ref="B2:G2"/>
    <mergeCell ref="H2:K2"/>
    <mergeCell ref="B3:K3"/>
    <mergeCell ref="B5:K5"/>
    <mergeCell ref="B21:K21"/>
    <mergeCell ref="B22:G25"/>
    <mergeCell ref="B28:K28"/>
    <mergeCell ref="B90:G90"/>
    <mergeCell ref="B98:G98"/>
    <mergeCell ref="B100:G100"/>
    <mergeCell ref="B114:G11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8392</v>
      </c>
      <c r="C2" s="15"/>
      <c r="D2" s="15"/>
      <c r="E2" s="15"/>
      <c r="F2" s="15"/>
      <c r="G2" s="15"/>
      <c r="H2" s="89" t="s">
        <v>995</v>
      </c>
      <c r="I2" s="89"/>
      <c r="J2" s="89"/>
      <c r="K2" s="89"/>
    </row>
    <row r="3" customFormat="false" ht="33.75" hidden="false" customHeight="true" outlineLevel="0" collapsed="false">
      <c r="B3" s="90" t="s">
        <v>5932</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575" t="s">
        <v>4061</v>
      </c>
      <c r="C6" s="575"/>
      <c r="D6" s="575"/>
      <c r="E6" s="575"/>
      <c r="F6" s="575"/>
      <c r="G6" s="575"/>
      <c r="H6" s="575"/>
      <c r="I6" s="575"/>
      <c r="J6" s="575"/>
      <c r="K6" s="575"/>
    </row>
    <row r="7" customFormat="false" ht="15" hidden="false" customHeight="true" outlineLevel="0" collapsed="false">
      <c r="B7" s="81" t="s">
        <v>207</v>
      </c>
      <c r="C7" s="406" t="n">
        <f aca="false">'Borderless · 8-Year'!C11</f>
        <v>231600</v>
      </c>
      <c r="D7" s="406" t="n">
        <f aca="false">'Borderless · 8-Year'!D11</f>
        <v>268366.5</v>
      </c>
      <c r="E7" s="406" t="n">
        <f aca="false">'Borderless · 8-Year'!E11</f>
        <v>307130.55</v>
      </c>
      <c r="F7" s="406" t="n">
        <f aca="false">'Borderless · 8-Year'!F11</f>
        <v>316344.4665</v>
      </c>
      <c r="G7" s="406" t="n">
        <f aca="false">'Borderless · 8-Year'!G11</f>
        <v>325834.800495</v>
      </c>
      <c r="H7" s="406" t="n">
        <f aca="false">'Borderless · 8-Year'!H11</f>
        <v>352390.336735343</v>
      </c>
      <c r="I7" s="406" t="n">
        <f aca="false">'Borderless · 8-Year'!I11</f>
        <v>362962.046837403</v>
      </c>
      <c r="J7" s="406" t="n">
        <f aca="false">'Borderless · 8-Year'!J11</f>
        <v>373850.908242525</v>
      </c>
      <c r="K7" s="546" t="n">
        <f aca="false">SUM(C7:J7)</f>
        <v>2538479.60881027</v>
      </c>
    </row>
    <row r="8" customFormat="false" ht="15" hidden="false" customHeight="true" outlineLevel="0" collapsed="false">
      <c r="B8" s="6"/>
      <c r="K8" s="6"/>
    </row>
    <row r="9" customFormat="false" ht="21.75" hidden="false" customHeight="true" outlineLevel="0" collapsed="false">
      <c r="B9" s="123" t="s">
        <v>4091</v>
      </c>
      <c r="C9" s="123"/>
      <c r="D9" s="123"/>
      <c r="E9" s="123"/>
      <c r="F9" s="123"/>
      <c r="G9" s="123"/>
      <c r="H9" s="123"/>
      <c r="I9" s="123"/>
      <c r="J9" s="123"/>
      <c r="K9" s="123"/>
    </row>
    <row r="10" customFormat="false" ht="15" hidden="false" customHeight="true" outlineLevel="0" collapsed="false">
      <c r="B10" s="113" t="s">
        <v>4092</v>
      </c>
      <c r="C10" s="360" t="n">
        <f aca="false">-'Borderless · 8-Year'!C17</f>
        <v>-77200</v>
      </c>
      <c r="D10" s="360" t="n">
        <f aca="false">-'Borderless · 8-Year'!D17</f>
        <v>-87395.5</v>
      </c>
      <c r="E10" s="360" t="n">
        <f aca="false">-'Borderless · 8-Year'!E17</f>
        <v>-98133.25</v>
      </c>
      <c r="F10" s="360" t="n">
        <f aca="false">-'Borderless · 8-Year'!F17</f>
        <v>-101077.2475</v>
      </c>
      <c r="G10" s="360" t="n">
        <f aca="false">-'Borderless · 8-Year'!G17</f>
        <v>-104109.564925</v>
      </c>
      <c r="H10" s="360" t="n">
        <f aca="false">-'Borderless · 8-Year'!H17</f>
        <v>-111667.075206948</v>
      </c>
      <c r="I10" s="360" t="n">
        <f aca="false">-'Borderless · 8-Year'!I17</f>
        <v>-115017.087463156</v>
      </c>
      <c r="J10" s="360" t="n">
        <f aca="false">-'Borderless · 8-Year'!J17</f>
        <v>-118467.600087051</v>
      </c>
      <c r="K10" s="1384" t="n">
        <f aca="false">SUM(C10:J10)</f>
        <v>-813067.325182154</v>
      </c>
    </row>
    <row r="11" customFormat="false" ht="15" hidden="false" customHeight="true" outlineLevel="0" collapsed="false">
      <c r="B11" s="6"/>
      <c r="K11" s="6"/>
    </row>
    <row r="12" customFormat="false" ht="21.75" hidden="false" customHeight="true" outlineLevel="0" collapsed="false">
      <c r="B12" s="72" t="s">
        <v>4093</v>
      </c>
      <c r="C12" s="72"/>
      <c r="D12" s="72"/>
      <c r="E12" s="72"/>
      <c r="F12" s="72"/>
      <c r="G12" s="72"/>
      <c r="H12" s="72"/>
      <c r="I12" s="72"/>
      <c r="J12" s="72"/>
      <c r="K12" s="72"/>
    </row>
    <row r="13" customFormat="false" ht="15" hidden="false" customHeight="true" outlineLevel="0" collapsed="false">
      <c r="B13" s="81" t="s">
        <v>4094</v>
      </c>
      <c r="C13" s="577" t="n">
        <f aca="false">C7+C10</f>
        <v>154400</v>
      </c>
      <c r="D13" s="577" t="n">
        <f aca="false">D7+D10</f>
        <v>180971</v>
      </c>
      <c r="E13" s="577" t="n">
        <f aca="false">E7+E10</f>
        <v>208997.3</v>
      </c>
      <c r="F13" s="577" t="n">
        <f aca="false">F7+F10</f>
        <v>215267.219</v>
      </c>
      <c r="G13" s="577" t="n">
        <f aca="false">G7+G10</f>
        <v>221725.23557</v>
      </c>
      <c r="H13" s="577" t="n">
        <f aca="false">H7+H10</f>
        <v>240723.261528395</v>
      </c>
      <c r="I13" s="577" t="n">
        <f aca="false">I7+I10</f>
        <v>247944.959374247</v>
      </c>
      <c r="J13" s="577" t="n">
        <f aca="false">J7+J10</f>
        <v>255383.308155474</v>
      </c>
      <c r="K13" s="1383" t="n">
        <f aca="false">SUM(C13:J13)</f>
        <v>1725412.28362812</v>
      </c>
    </row>
    <row r="14" customFormat="false" ht="15" hidden="false" customHeight="true" outlineLevel="0" collapsed="false">
      <c r="B14" s="1382" t="s">
        <v>4095</v>
      </c>
      <c r="C14" s="593" t="n">
        <f aca="false">C13/C7</f>
        <v>0.666666666666667</v>
      </c>
      <c r="D14" s="593" t="n">
        <f aca="false">D13/D7</f>
        <v>0.674342736518902</v>
      </c>
      <c r="E14" s="593" t="n">
        <f aca="false">E13/E7</f>
        <v>0.680483592400691</v>
      </c>
      <c r="F14" s="593" t="n">
        <f aca="false">F13/F7</f>
        <v>0.680483592400691</v>
      </c>
      <c r="G14" s="593" t="n">
        <f aca="false">G13/G7</f>
        <v>0.680483592400691</v>
      </c>
      <c r="H14" s="593" t="n">
        <f aca="false">H13/H7</f>
        <v>0.6831153877786</v>
      </c>
      <c r="I14" s="593" t="n">
        <f aca="false">I13/I7</f>
        <v>0.6831153877786</v>
      </c>
      <c r="J14" s="593" t="n">
        <f aca="false">J13/J7</f>
        <v>0.6831153877786</v>
      </c>
      <c r="K14" s="6"/>
    </row>
    <row r="15" customFormat="false" ht="15" hidden="false" customHeight="true" outlineLevel="0" collapsed="false">
      <c r="B15" s="6"/>
      <c r="K15" s="6"/>
    </row>
    <row r="16" customFormat="false" ht="15" hidden="false" customHeight="true" outlineLevel="0" collapsed="false">
      <c r="B16" s="592" t="s">
        <v>4096</v>
      </c>
      <c r="D16" s="593" t="n">
        <f aca="false">D7/C7-1</f>
        <v>0.15875</v>
      </c>
      <c r="E16" s="593" t="n">
        <f aca="false">E7/D7-1</f>
        <v>0.144444444444444</v>
      </c>
      <c r="F16" s="593" t="n">
        <f aca="false">F7/E7-1</f>
        <v>0.03</v>
      </c>
      <c r="G16" s="593" t="n">
        <f aca="false">G7/F7-1</f>
        <v>0.0300000000000003</v>
      </c>
      <c r="H16" s="593" t="n">
        <f aca="false">H7/G7-1</f>
        <v>0.0814999999999999</v>
      </c>
      <c r="I16" s="593" t="n">
        <f aca="false">I7/H7-1</f>
        <v>0.03</v>
      </c>
      <c r="J16" s="593" t="n">
        <f aca="false">J7/I7-1</f>
        <v>0.03</v>
      </c>
      <c r="K16" s="6"/>
    </row>
    <row r="17" customFormat="false" ht="15" hidden="false" customHeight="true" outlineLevel="0" collapsed="false">
      <c r="B17" s="6"/>
      <c r="K17" s="6"/>
    </row>
    <row r="18" customFormat="false" ht="15" hidden="false" customHeight="true" outlineLevel="0" collapsed="false">
      <c r="B18" s="6"/>
      <c r="K18" s="6"/>
    </row>
    <row r="19" customFormat="false" ht="21.75" hidden="false" customHeight="true" outlineLevel="0" collapsed="false">
      <c r="B19" s="575" t="s">
        <v>4097</v>
      </c>
      <c r="C19" s="575"/>
      <c r="D19" s="575"/>
      <c r="E19" s="575"/>
      <c r="F19" s="575"/>
      <c r="G19" s="575"/>
      <c r="H19" s="575"/>
      <c r="I19" s="575"/>
      <c r="J19" s="575"/>
      <c r="K19" s="575"/>
    </row>
    <row r="20" customFormat="false" ht="21.75" hidden="false" customHeight="true" outlineLevel="0" collapsed="false">
      <c r="B20" s="97" t="s">
        <v>206</v>
      </c>
      <c r="C20" s="98" t="s">
        <v>393</v>
      </c>
      <c r="D20" s="98" t="s">
        <v>86</v>
      </c>
      <c r="K20" s="6"/>
    </row>
    <row r="21" customFormat="false" ht="15" hidden="false" customHeight="true" outlineLevel="0" collapsed="false">
      <c r="B21" s="113" t="s">
        <v>3457</v>
      </c>
      <c r="C21" s="544" t="n">
        <f aca="false">C7</f>
        <v>231600</v>
      </c>
      <c r="D21" s="634" t="s">
        <v>5933</v>
      </c>
      <c r="K21" s="6"/>
    </row>
    <row r="22" customFormat="false" ht="15" hidden="false" customHeight="true" outlineLevel="0" collapsed="false">
      <c r="B22" s="113" t="s">
        <v>3458</v>
      </c>
      <c r="C22" s="544" t="n">
        <f aca="false">F7</f>
        <v>316344.4665</v>
      </c>
      <c r="D22" s="634" t="s">
        <v>4099</v>
      </c>
      <c r="K22" s="6"/>
    </row>
    <row r="23" customFormat="false" ht="15" hidden="false" customHeight="true" outlineLevel="0" collapsed="false">
      <c r="B23" s="113" t="s">
        <v>4100</v>
      </c>
      <c r="C23" s="544" t="n">
        <f aca="false">J7</f>
        <v>373850.908242525</v>
      </c>
      <c r="D23" s="634" t="s">
        <v>4101</v>
      </c>
      <c r="K23" s="6"/>
    </row>
    <row r="24" customFormat="false" ht="15" hidden="false" customHeight="true" outlineLevel="0" collapsed="false">
      <c r="B24" s="113" t="s">
        <v>3460</v>
      </c>
      <c r="C24" s="544" t="n">
        <f aca="false">K7</f>
        <v>2538479.60881027</v>
      </c>
      <c r="D24" s="634" t="s">
        <v>4102</v>
      </c>
      <c r="K24" s="6"/>
    </row>
    <row r="25" customFormat="false" ht="15" hidden="false" customHeight="true" outlineLevel="0" collapsed="false">
      <c r="B25" s="113" t="s">
        <v>3461</v>
      </c>
      <c r="C25" s="544" t="n">
        <f aca="false">K13</f>
        <v>1725412.28362812</v>
      </c>
      <c r="D25" s="634" t="s">
        <v>4103</v>
      </c>
      <c r="K25" s="6"/>
    </row>
    <row r="26" customFormat="false" ht="15" hidden="false" customHeight="true" outlineLevel="0" collapsed="false">
      <c r="B26" s="113" t="s">
        <v>4104</v>
      </c>
      <c r="C26" s="1288" t="n">
        <f aca="false">K13/K7</f>
        <v>0.679703030758943</v>
      </c>
      <c r="D26" s="634" t="s">
        <v>4105</v>
      </c>
      <c r="K26" s="6"/>
    </row>
    <row r="27" customFormat="false" ht="15" hidden="false" customHeight="true" outlineLevel="0" collapsed="false">
      <c r="B27" s="113" t="s">
        <v>4106</v>
      </c>
      <c r="C27" s="1288" t="n">
        <f aca="false">(J7/C7)^(1/7)-1</f>
        <v>0.0708004745979443</v>
      </c>
      <c r="D27" s="634" t="s">
        <v>4107</v>
      </c>
      <c r="K27" s="6"/>
    </row>
    <row r="28" customFormat="false" ht="15" hidden="false" customHeight="true" outlineLevel="0" collapsed="false">
      <c r="B28" s="6"/>
      <c r="K28" s="6"/>
    </row>
    <row r="29" customFormat="false" ht="15" hidden="false" customHeight="true" outlineLevel="0" collapsed="false">
      <c r="B29" s="6"/>
      <c r="K29" s="6"/>
    </row>
    <row r="30" customFormat="false" ht="21.75" hidden="false" customHeight="true" outlineLevel="0" collapsed="false">
      <c r="B30" s="304" t="s">
        <v>5934</v>
      </c>
      <c r="C30" s="304"/>
      <c r="D30" s="304"/>
      <c r="E30" s="304"/>
      <c r="F30" s="304"/>
      <c r="G30" s="304"/>
      <c r="H30" s="304"/>
      <c r="I30" s="304"/>
      <c r="J30" s="304"/>
      <c r="K30" s="304"/>
    </row>
    <row r="31" customFormat="false" ht="120" hidden="false" customHeight="true" outlineLevel="0" collapsed="false">
      <c r="B31" s="1385" t="s">
        <v>5935</v>
      </c>
      <c r="C31" s="1385"/>
      <c r="D31" s="1385"/>
      <c r="E31" s="1385"/>
      <c r="F31" s="1385"/>
      <c r="G31" s="1385"/>
      <c r="H31" s="1385"/>
      <c r="I31" s="1385"/>
      <c r="J31" s="1385"/>
      <c r="K31" s="1385"/>
    </row>
    <row r="32" customFormat="false" ht="15" hidden="false" customHeight="true" outlineLevel="0" collapsed="false">
      <c r="B32" s="1385"/>
      <c r="C32" s="1385"/>
      <c r="D32" s="1385"/>
      <c r="E32" s="1385"/>
      <c r="F32" s="1385"/>
      <c r="G32" s="1385"/>
      <c r="H32" s="1385"/>
      <c r="I32" s="1385"/>
      <c r="J32" s="1385"/>
      <c r="K32" s="1385"/>
    </row>
    <row r="33" customFormat="false" ht="15" hidden="false" customHeight="true" outlineLevel="0" collapsed="false">
      <c r="B33" s="1385"/>
      <c r="C33" s="1385"/>
      <c r="D33" s="1385"/>
      <c r="E33" s="1385"/>
      <c r="F33" s="1385"/>
      <c r="G33" s="1385"/>
      <c r="H33" s="1385"/>
      <c r="I33" s="1385"/>
      <c r="J33" s="1385"/>
      <c r="K33" s="1385"/>
    </row>
  </sheetData>
  <mergeCells count="9">
    <mergeCell ref="B2:G2"/>
    <mergeCell ref="H2:K2"/>
    <mergeCell ref="B3:K3"/>
    <mergeCell ref="B6:K6"/>
    <mergeCell ref="B9:K9"/>
    <mergeCell ref="B12:K12"/>
    <mergeCell ref="B19:K19"/>
    <mergeCell ref="B30:K30"/>
    <mergeCell ref="B31:K3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K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8393</v>
      </c>
      <c r="C2" s="88"/>
      <c r="D2" s="88"/>
      <c r="E2" s="88"/>
      <c r="F2" s="88"/>
      <c r="G2" s="88"/>
      <c r="H2" s="89" t="s">
        <v>995</v>
      </c>
      <c r="I2" s="89"/>
      <c r="J2" s="89"/>
      <c r="K2" s="89"/>
    </row>
    <row r="3" customFormat="false" ht="33.75" hidden="false" customHeight="true" outlineLevel="0" collapsed="false">
      <c r="B3" s="90" t="s">
        <v>5937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96" t="s">
        <v>4996</v>
      </c>
      <c r="C6" s="96"/>
      <c r="D6" s="96"/>
      <c r="E6" s="96"/>
      <c r="F6" s="96"/>
      <c r="G6" s="96"/>
      <c r="H6" s="96"/>
      <c r="I6" s="96"/>
      <c r="J6" s="96"/>
      <c r="K6" s="96"/>
    </row>
    <row r="7" customFormat="false" ht="15" hidden="false" customHeight="true" outlineLevel="0" collapsed="false">
      <c r="B7" s="81" t="s">
        <v>903</v>
      </c>
      <c r="C7" s="385" t="n">
        <f aca="false">'Borderless · 8-Year'!C11</f>
        <v>231600</v>
      </c>
      <c r="D7" s="385" t="n">
        <f aca="false">'Borderless · 8-Year'!D11</f>
        <v>268366.5</v>
      </c>
      <c r="E7" s="385" t="n">
        <f aca="false">'Borderless · 8-Year'!E11</f>
        <v>307130.55</v>
      </c>
      <c r="F7" s="385" t="n">
        <f aca="false">'Borderless · 8-Year'!F11</f>
        <v>316344.4665</v>
      </c>
      <c r="G7" s="385" t="n">
        <f aca="false">'Borderless · 8-Year'!G11</f>
        <v>325834.800495</v>
      </c>
      <c r="H7" s="385" t="n">
        <f aca="false">'Borderless · 8-Year'!H11</f>
        <v>352390.336735343</v>
      </c>
      <c r="I7" s="385" t="n">
        <f aca="false">'Borderless · 8-Year'!I11</f>
        <v>362962.046837403</v>
      </c>
      <c r="J7" s="385" t="n">
        <f aca="false">'Borderless · 8-Year'!J11</f>
        <v>373850.908242525</v>
      </c>
      <c r="K7" s="1386" t="n">
        <f aca="false">SUM(C7:J7)</f>
        <v>2538479.60881027</v>
      </c>
    </row>
    <row r="8" customFormat="false" ht="15" hidden="false" customHeight="true" outlineLevel="0" collapsed="false">
      <c r="B8" s="81" t="s">
        <v>4112</v>
      </c>
      <c r="C8" s="1294" t="n">
        <f aca="false">'Borderless · 8-Year'!C20</f>
        <v>154400</v>
      </c>
      <c r="D8" s="1294" t="n">
        <f aca="false">'Borderless · 8-Year'!D20</f>
        <v>180971</v>
      </c>
      <c r="E8" s="1294" t="n">
        <f aca="false">'Borderless · 8-Year'!E20</f>
        <v>208997.3</v>
      </c>
      <c r="F8" s="1294" t="n">
        <f aca="false">'Borderless · 8-Year'!F20</f>
        <v>215267.219</v>
      </c>
      <c r="G8" s="1294" t="n">
        <f aca="false">'Borderless · 8-Year'!G20</f>
        <v>221725.23557</v>
      </c>
      <c r="H8" s="1294" t="n">
        <f aca="false">'Borderless · 8-Year'!H20</f>
        <v>240723.261528395</v>
      </c>
      <c r="I8" s="1294" t="n">
        <f aca="false">'Borderless · 8-Year'!I20</f>
        <v>247944.959374247</v>
      </c>
      <c r="J8" s="1294" t="n">
        <f aca="false">'Borderless · 8-Year'!J20</f>
        <v>255383.308155474</v>
      </c>
      <c r="K8" s="1387" t="n">
        <f aca="false">SUM(C8:J8)</f>
        <v>1725412.28362812</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388" t="n">
        <v>0.005</v>
      </c>
      <c r="K11" s="6"/>
    </row>
    <row r="12" customFormat="false" ht="15" hidden="false" customHeight="true" outlineLevel="0" collapsed="false">
      <c r="B12" s="113" t="s">
        <v>3766</v>
      </c>
      <c r="C12" s="1389" t="n">
        <v>45</v>
      </c>
      <c r="K12" s="6"/>
    </row>
    <row r="13" customFormat="false" ht="15" hidden="false" customHeight="true" outlineLevel="0" collapsed="false">
      <c r="B13" s="113" t="s">
        <v>3768</v>
      </c>
      <c r="C13" s="1389" t="n">
        <v>30</v>
      </c>
      <c r="K13" s="6"/>
    </row>
    <row r="14" customFormat="false" ht="15" hidden="false" customHeight="true" outlineLevel="0" collapsed="false">
      <c r="B14" s="6"/>
      <c r="K14" s="6"/>
    </row>
    <row r="15" customFormat="false" ht="15" hidden="false" customHeight="true" outlineLevel="0" collapsed="false">
      <c r="B15" s="1164" t="s">
        <v>4114</v>
      </c>
      <c r="C15" s="387" t="n">
        <f aca="false">C7*$C$11</f>
        <v>1158</v>
      </c>
      <c r="D15" s="387" t="n">
        <f aca="false">D7*$C$11</f>
        <v>1341.8325</v>
      </c>
      <c r="E15" s="387" t="n">
        <f aca="false">E7*$C$11</f>
        <v>1535.65275</v>
      </c>
      <c r="F15" s="387" t="n">
        <f aca="false">F7*$C$11</f>
        <v>1581.7223325</v>
      </c>
      <c r="G15" s="387" t="n">
        <f aca="false">G7*$C$11</f>
        <v>1629.174002475</v>
      </c>
      <c r="H15" s="387" t="n">
        <f aca="false">H7*$C$11</f>
        <v>1761.95168367671</v>
      </c>
      <c r="I15" s="387" t="n">
        <f aca="false">I7*$C$11</f>
        <v>1814.81023418701</v>
      </c>
      <c r="J15" s="387" t="n">
        <f aca="false">J7*$C$11</f>
        <v>1869.25454121262</v>
      </c>
      <c r="K15" s="6"/>
    </row>
    <row r="16" customFormat="false" ht="15" hidden="false" customHeight="true" outlineLevel="0" collapsed="false">
      <c r="B16" s="1164" t="s">
        <v>4115</v>
      </c>
      <c r="C16" s="387" t="n">
        <f aca="false">C7/365*$C$12</f>
        <v>28553.4246575342</v>
      </c>
      <c r="D16" s="387" t="n">
        <f aca="false">D7/365*$C$12</f>
        <v>33086.2808219178</v>
      </c>
      <c r="E16" s="387" t="n">
        <f aca="false">E7/365*$C$12</f>
        <v>37865.4102739726</v>
      </c>
      <c r="F16" s="387" t="n">
        <f aca="false">F7/365*$C$12</f>
        <v>39001.3725821918</v>
      </c>
      <c r="G16" s="387" t="n">
        <f aca="false">G7/365*$C$12</f>
        <v>40171.4137596575</v>
      </c>
      <c r="H16" s="387" t="n">
        <f aca="false">H7/365*$C$12</f>
        <v>43445.3839810696</v>
      </c>
      <c r="I16" s="387" t="n">
        <f aca="false">I7/365*$C$12</f>
        <v>44748.7455005017</v>
      </c>
      <c r="J16" s="387" t="n">
        <f aca="false">J7/365*$C$12</f>
        <v>46091.2078655168</v>
      </c>
      <c r="K16" s="6"/>
    </row>
    <row r="17" customFormat="false" ht="15" hidden="false" customHeight="true" outlineLevel="0" collapsed="false">
      <c r="B17" s="1164" t="s">
        <v>4116</v>
      </c>
      <c r="C17" s="387" t="n">
        <f aca="false">C7*('Borderless · Costs'!C17/'Borderless · Revenue'!E21)/365*$C$13</f>
        <v>6082.19178082192</v>
      </c>
      <c r="D17" s="387" t="n">
        <f aca="false">D7*('Borderless · Costs'!C17/'Borderless · Revenue'!E21)/365*$C$13</f>
        <v>7047.7397260274</v>
      </c>
      <c r="E17" s="387" t="n">
        <f aca="false">E7*('Borderless · Costs'!C17/'Borderless · Revenue'!E21)/365*$C$13</f>
        <v>8065.74657534247</v>
      </c>
      <c r="F17" s="387" t="n">
        <f aca="false">F7*('Borderless · Costs'!C17/'Borderless · Revenue'!E21)/365*$C$13</f>
        <v>8307.71897260274</v>
      </c>
      <c r="G17" s="387" t="n">
        <f aca="false">G7*('Borderless · Costs'!C17/'Borderless · Revenue'!E21)/365*$C$13</f>
        <v>8556.95054178082</v>
      </c>
      <c r="H17" s="387" t="n">
        <f aca="false">H7*('Borderless · Costs'!C17/'Borderless · Revenue'!E21)/365*$C$13</f>
        <v>9254.34201093596</v>
      </c>
      <c r="I17" s="387" t="n">
        <f aca="false">I7*('Borderless · Costs'!C17/'Borderless · Revenue'!E21)/365*$C$13</f>
        <v>9531.97227126404</v>
      </c>
      <c r="J17" s="387" t="n">
        <f aca="false">J7*('Borderless · Costs'!C17/'Borderless · Revenue'!E21)/365*$C$13</f>
        <v>9817.93143940196</v>
      </c>
      <c r="K17" s="6"/>
    </row>
    <row r="18" customFormat="false" ht="15" hidden="false" customHeight="true" outlineLevel="0" collapsed="false">
      <c r="B18" s="113" t="s">
        <v>4117</v>
      </c>
      <c r="C18" s="385" t="n">
        <f aca="false">C15+C16-C17</f>
        <v>23629.2328767123</v>
      </c>
      <c r="D18" s="385" t="n">
        <f aca="false">D15+D16-D17</f>
        <v>27380.3735958904</v>
      </c>
      <c r="E18" s="385" t="n">
        <f aca="false">E15+E16-E17</f>
        <v>31335.3164486301</v>
      </c>
      <c r="F18" s="385" t="n">
        <f aca="false">F15+F16-F17</f>
        <v>32275.375942089</v>
      </c>
      <c r="G18" s="385" t="n">
        <f aca="false">G15+G16-G17</f>
        <v>33243.6372203517</v>
      </c>
      <c r="H18" s="385" t="n">
        <f aca="false">H15+H16-H17</f>
        <v>35952.9936538104</v>
      </c>
      <c r="I18" s="385" t="n">
        <f aca="false">I15+I16-I17</f>
        <v>37031.5834634247</v>
      </c>
      <c r="J18" s="385" t="n">
        <f aca="false">J15+J16-J17</f>
        <v>38142.5309673274</v>
      </c>
      <c r="K18" s="6"/>
    </row>
    <row r="19" customFormat="false" ht="15" hidden="false" customHeight="true" outlineLevel="0" collapsed="false">
      <c r="B19" s="1267" t="s">
        <v>4118</v>
      </c>
      <c r="C19" s="1292" t="n">
        <f aca="false">C18</f>
        <v>23629.2328767123</v>
      </c>
      <c r="D19" s="1292" t="n">
        <f aca="false">D18-C18</f>
        <v>3751.14071917808</v>
      </c>
      <c r="E19" s="1292" t="n">
        <f aca="false">E18-D18</f>
        <v>3954.94285273973</v>
      </c>
      <c r="F19" s="1292" t="n">
        <f aca="false">F18-E18</f>
        <v>940.05949345891</v>
      </c>
      <c r="G19" s="1292" t="n">
        <f aca="false">G18-F18</f>
        <v>968.261278262671</v>
      </c>
      <c r="H19" s="1292" t="n">
        <f aca="false">H18-G18</f>
        <v>2709.35643345866</v>
      </c>
      <c r="I19" s="1292" t="n">
        <f aca="false">I18-H18</f>
        <v>1078.58980961431</v>
      </c>
      <c r="J19" s="1292" t="n">
        <f aca="false">J18-I18</f>
        <v>1110.94750390275</v>
      </c>
      <c r="K19" s="6"/>
    </row>
    <row r="20" customFormat="false" ht="15" hidden="false" customHeight="true" outlineLevel="0" collapsed="false">
      <c r="B20" s="6"/>
      <c r="K20" s="6"/>
    </row>
    <row r="21" customFormat="false" ht="21.75" hidden="false" customHeight="true" outlineLevel="0" collapsed="false">
      <c r="B21" s="575" t="s">
        <v>5938</v>
      </c>
      <c r="C21" s="575"/>
      <c r="D21" s="575"/>
      <c r="E21" s="575"/>
      <c r="F21" s="575"/>
      <c r="G21" s="575"/>
      <c r="H21" s="575"/>
      <c r="I21" s="575"/>
      <c r="J21" s="575"/>
      <c r="K21" s="575"/>
    </row>
    <row r="22" customFormat="false" ht="15" hidden="false" customHeight="true" outlineLevel="0" collapsed="false">
      <c r="B22" s="126" t="s">
        <v>3771</v>
      </c>
      <c r="C22" s="1388" t="n">
        <v>0.01</v>
      </c>
      <c r="K22" s="6"/>
    </row>
    <row r="23" customFormat="false" ht="15" hidden="false" customHeight="true" outlineLevel="0" collapsed="false">
      <c r="B23" s="113" t="s">
        <v>4121</v>
      </c>
      <c r="C23" s="360" t="n">
        <f aca="false">C7*$C$22</f>
        <v>2316</v>
      </c>
      <c r="D23" s="360" t="n">
        <f aca="false">D7*$C$22</f>
        <v>2683.665</v>
      </c>
      <c r="E23" s="360" t="n">
        <f aca="false">E7*$C$22</f>
        <v>3071.3055</v>
      </c>
      <c r="F23" s="360" t="n">
        <f aca="false">F7*$C$22</f>
        <v>3163.444665</v>
      </c>
      <c r="G23" s="360" t="n">
        <f aca="false">G7*$C$22</f>
        <v>3258.34800495</v>
      </c>
      <c r="H23" s="360" t="n">
        <f aca="false">H7*$C$22</f>
        <v>3523.90336735343</v>
      </c>
      <c r="I23" s="360" t="n">
        <f aca="false">I7*$C$22</f>
        <v>3629.62046837403</v>
      </c>
      <c r="J23" s="360" t="n">
        <f aca="false">J7*$C$22</f>
        <v>3738.50908242525</v>
      </c>
      <c r="K23" s="6"/>
    </row>
    <row r="24" customFormat="false" ht="15" hidden="false" customHeight="true" outlineLevel="0" collapsed="false">
      <c r="B24" s="6"/>
      <c r="K24" s="6"/>
    </row>
    <row r="25" customFormat="false" ht="33.75" hidden="false" customHeight="true" outlineLevel="0" collapsed="false">
      <c r="B25" s="104" t="s">
        <v>5939</v>
      </c>
      <c r="K25" s="6"/>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15" hidden="false" customHeight="true" outlineLevel="0" collapsed="false">
      <c r="B28" s="81" t="s">
        <v>4124</v>
      </c>
      <c r="C28" s="577" t="n">
        <f aca="false">C8-C19-C23</f>
        <v>128454.767123288</v>
      </c>
      <c r="D28" s="577" t="n">
        <f aca="false">D8-D19-D23</f>
        <v>174536.194280822</v>
      </c>
      <c r="E28" s="577" t="n">
        <f aca="false">E8-E19-E23</f>
        <v>201971.05164726</v>
      </c>
      <c r="F28" s="577" t="n">
        <f aca="false">F8-F19-F23</f>
        <v>211163.714841541</v>
      </c>
      <c r="G28" s="577" t="n">
        <f aca="false">G8-G19-G23</f>
        <v>217498.626286787</v>
      </c>
      <c r="H28" s="577" t="n">
        <f aca="false">H8-H19-H23</f>
        <v>234490.001727583</v>
      </c>
      <c r="I28" s="577" t="n">
        <f aca="false">I8-I19-I23</f>
        <v>243236.749096259</v>
      </c>
      <c r="J28" s="577" t="n">
        <f aca="false">J8-J19-J23</f>
        <v>250533.851569146</v>
      </c>
      <c r="K28" s="1383" t="n">
        <f aca="false">SUM(C28:J28)</f>
        <v>1661884.95657269</v>
      </c>
    </row>
    <row r="29" customFormat="false" ht="15" hidden="false" customHeight="true" outlineLevel="0" collapsed="false">
      <c r="B29" s="1382" t="s">
        <v>5940</v>
      </c>
      <c r="C29" s="593" t="n">
        <f aca="false">C28/C8</f>
        <v>0.831960926964299</v>
      </c>
      <c r="D29" s="593" t="n">
        <f aca="false">D28/D8</f>
        <v>0.964442890191367</v>
      </c>
      <c r="E29" s="593" t="n">
        <f aca="false">E28/E8</f>
        <v>0.966381152518527</v>
      </c>
      <c r="F29" s="593" t="n">
        <f aca="false">F28/F8</f>
        <v>0.980937626371905</v>
      </c>
      <c r="G29" s="593" t="n">
        <f aca="false">G28/G8</f>
        <v>0.980937626371905</v>
      </c>
      <c r="H29" s="593" t="n">
        <f aca="false">H28/H8</f>
        <v>0.974106117700317</v>
      </c>
      <c r="I29" s="593" t="n">
        <f aca="false">I28/I8</f>
        <v>0.981011066771147</v>
      </c>
      <c r="J29" s="593" t="n">
        <f aca="false">J28/J8</f>
        <v>0.981011066771147</v>
      </c>
      <c r="K29" s="6"/>
    </row>
    <row r="30" customFormat="false" ht="15" hidden="false" customHeight="true" outlineLevel="0" collapsed="false">
      <c r="B30" s="6"/>
      <c r="K30" s="6"/>
    </row>
    <row r="31" customFormat="false" ht="15" hidden="false" customHeight="true" outlineLevel="0" collapsed="false">
      <c r="B31" s="1164" t="s">
        <v>4126</v>
      </c>
      <c r="C31" s="387" t="n">
        <f aca="false">C28</f>
        <v>128454.767123288</v>
      </c>
      <c r="D31" s="387" t="n">
        <f aca="false">C31+D28</f>
        <v>302990.96140411</v>
      </c>
      <c r="E31" s="387" t="n">
        <f aca="false">D31+E28</f>
        <v>504962.01305137</v>
      </c>
      <c r="F31" s="387" t="n">
        <f aca="false">E31+F28</f>
        <v>716125.727892911</v>
      </c>
      <c r="G31" s="387" t="n">
        <f aca="false">F31+G28</f>
        <v>933624.354179698</v>
      </c>
      <c r="H31" s="387" t="n">
        <f aca="false">G31+H28</f>
        <v>1168114.35590728</v>
      </c>
      <c r="I31" s="387" t="n">
        <f aca="false">H31+I28</f>
        <v>1411351.10500354</v>
      </c>
      <c r="J31" s="387" t="n">
        <f aca="false">I31+J28</f>
        <v>1661884.95657269</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21.75" hidden="false" customHeight="true" outlineLevel="0" collapsed="false">
      <c r="B35" s="97" t="s">
        <v>206</v>
      </c>
      <c r="C35" s="98" t="s">
        <v>393</v>
      </c>
      <c r="D35" s="98" t="s">
        <v>225</v>
      </c>
      <c r="K35" s="6"/>
    </row>
    <row r="36" customFormat="false" ht="15" hidden="false" customHeight="true" outlineLevel="0" collapsed="false">
      <c r="B36" s="113" t="s">
        <v>4128</v>
      </c>
      <c r="C36" s="544" t="n">
        <f aca="false">C28</f>
        <v>128454.767123288</v>
      </c>
      <c r="D36" s="634" t="s">
        <v>4129</v>
      </c>
      <c r="K36" s="6"/>
    </row>
    <row r="37" customFormat="false" ht="15" hidden="false" customHeight="true" outlineLevel="0" collapsed="false">
      <c r="B37" s="113" t="s">
        <v>4130</v>
      </c>
      <c r="C37" s="544" t="n">
        <f aca="false">F28</f>
        <v>211163.714841541</v>
      </c>
      <c r="D37" s="634" t="s">
        <v>4131</v>
      </c>
      <c r="K37" s="6"/>
    </row>
    <row r="38" customFormat="false" ht="15" hidden="false" customHeight="true" outlineLevel="0" collapsed="false">
      <c r="B38" s="113" t="s">
        <v>4132</v>
      </c>
      <c r="C38" s="544" t="n">
        <f aca="false">K28</f>
        <v>1661884.95657269</v>
      </c>
      <c r="D38" s="634" t="s">
        <v>4133</v>
      </c>
      <c r="K38" s="6"/>
    </row>
    <row r="39" customFormat="false" ht="15" hidden="false" customHeight="true" outlineLevel="0" collapsed="false">
      <c r="B39" s="113" t="s">
        <v>4134</v>
      </c>
      <c r="C39" s="1288" t="n">
        <f aca="false">K28/K8</f>
        <v>0.963181363864034</v>
      </c>
      <c r="D39" s="634" t="s">
        <v>5941</v>
      </c>
      <c r="K39" s="6"/>
    </row>
  </sheetData>
  <mergeCells count="8">
    <mergeCell ref="B2:G2"/>
    <mergeCell ref="H2:K2"/>
    <mergeCell ref="B3:K3"/>
    <mergeCell ref="B6:K6"/>
    <mergeCell ref="B10:K10"/>
    <mergeCell ref="B21:K21"/>
    <mergeCell ref="B27:K27"/>
    <mergeCell ref="B34:K3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33.75" hidden="false" customHeight="true" outlineLevel="0" collapsed="false">
      <c r="B2" s="878" t="s">
        <v>8394</v>
      </c>
      <c r="C2" s="878"/>
      <c r="D2" s="878"/>
      <c r="E2" s="878"/>
      <c r="F2" s="878"/>
      <c r="G2" s="89" t="s">
        <v>3432</v>
      </c>
      <c r="H2" s="89"/>
      <c r="I2" s="89"/>
      <c r="J2" s="89"/>
    </row>
    <row r="3" customFormat="false" ht="18" hidden="false" customHeight="true" outlineLevel="0" collapsed="false">
      <c r="B3" s="90" t="s">
        <v>8395</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7155</v>
      </c>
      <c r="C5" s="575"/>
      <c r="D5" s="575"/>
      <c r="E5" s="575"/>
      <c r="F5" s="575"/>
      <c r="G5" s="575"/>
      <c r="H5" s="575"/>
    </row>
    <row r="6" customFormat="false" ht="18" hidden="false" customHeight="true" outlineLevel="0" collapsed="false">
      <c r="B6" s="113" t="s">
        <v>8287</v>
      </c>
      <c r="C6" s="1282" t="n">
        <f aca="false">'Borderless · Drivers'!C23</f>
        <v>110</v>
      </c>
      <c r="D6" s="565" t="s">
        <v>8396</v>
      </c>
      <c r="E6" s="6"/>
    </row>
    <row r="7" customFormat="false" ht="18" hidden="false" customHeight="true" outlineLevel="0" collapsed="false">
      <c r="B7" s="113" t="s">
        <v>8397</v>
      </c>
      <c r="C7" s="406" t="n">
        <f aca="false">'Borderless · Drivers'!C24*'Borderless · Drivers'!C25</f>
        <v>450</v>
      </c>
      <c r="D7" s="565" t="s">
        <v>8398</v>
      </c>
      <c r="E7" s="6"/>
    </row>
    <row r="8" customFormat="false" ht="18" hidden="false" customHeight="true" outlineLevel="0" collapsed="false">
      <c r="B8" s="81" t="s">
        <v>8399</v>
      </c>
      <c r="C8" s="1390" t="n">
        <f aca="false">'Borderless · Revenue'!E8</f>
        <v>49500</v>
      </c>
      <c r="D8" s="565" t="s">
        <v>8400</v>
      </c>
      <c r="E8" s="6"/>
    </row>
    <row r="9" customFormat="false" ht="15" hidden="false" customHeight="true" outlineLevel="0" collapsed="false">
      <c r="B9" s="6"/>
      <c r="E9" s="6"/>
    </row>
    <row r="10" customFormat="false" ht="18" hidden="false" customHeight="true" outlineLevel="0" collapsed="false">
      <c r="B10" s="113" t="s">
        <v>8401</v>
      </c>
      <c r="C10" s="1282" t="n">
        <f aca="false">'Borderless · Drivers'!C26</f>
        <v>20</v>
      </c>
      <c r="D10" s="565" t="s">
        <v>8402</v>
      </c>
      <c r="E10" s="6"/>
    </row>
    <row r="11" customFormat="false" ht="18" hidden="false" customHeight="true" outlineLevel="0" collapsed="false">
      <c r="B11" s="113" t="s">
        <v>8403</v>
      </c>
      <c r="C11" s="406" t="n">
        <f aca="false">'Borderless · Drivers'!C27</f>
        <v>4500</v>
      </c>
      <c r="D11" s="565" t="s">
        <v>8404</v>
      </c>
      <c r="E11" s="6"/>
    </row>
    <row r="12" customFormat="false" ht="18" hidden="false" customHeight="true" outlineLevel="0" collapsed="false">
      <c r="B12" s="81" t="s">
        <v>8405</v>
      </c>
      <c r="C12" s="1390" t="n">
        <f aca="false">'Borderless · Revenue'!E13</f>
        <v>90000</v>
      </c>
      <c r="D12" s="565" t="s">
        <v>8301</v>
      </c>
      <c r="E12" s="6"/>
    </row>
    <row r="13" customFormat="false" ht="15" hidden="false" customHeight="true" outlineLevel="0" collapsed="false">
      <c r="B13" s="6"/>
      <c r="E13" s="6"/>
    </row>
    <row r="14" customFormat="false" ht="18" hidden="false" customHeight="true" outlineLevel="0" collapsed="false">
      <c r="B14" s="113" t="s">
        <v>8406</v>
      </c>
      <c r="C14" s="1282" t="n">
        <f aca="false">'Borderless · Drivers'!C28</f>
        <v>5</v>
      </c>
      <c r="D14" s="565" t="s">
        <v>8407</v>
      </c>
      <c r="E14" s="6"/>
    </row>
    <row r="15" customFormat="false" ht="18" hidden="false" customHeight="true" outlineLevel="0" collapsed="false">
      <c r="B15" s="113" t="s">
        <v>8408</v>
      </c>
      <c r="C15" s="406" t="n">
        <f aca="false">'Borderless · Drivers'!C29</f>
        <v>30000</v>
      </c>
      <c r="D15" s="565" t="s">
        <v>8409</v>
      </c>
      <c r="E15" s="6"/>
    </row>
    <row r="16" customFormat="false" ht="18" hidden="false" customHeight="true" outlineLevel="0" collapsed="false">
      <c r="B16" s="81" t="s">
        <v>8410</v>
      </c>
      <c r="C16" s="1390" t="n">
        <f aca="false">'Borderless · Revenue'!E18</f>
        <v>150000</v>
      </c>
      <c r="D16" s="565" t="s">
        <v>8411</v>
      </c>
      <c r="E16" s="6"/>
    </row>
    <row r="17" customFormat="false" ht="15" hidden="false" customHeight="true" outlineLevel="0" collapsed="false">
      <c r="B17" s="6"/>
      <c r="E17" s="6"/>
    </row>
    <row r="18" customFormat="false" ht="33.75" hidden="false" customHeight="true" outlineLevel="0" collapsed="false">
      <c r="B18" s="96" t="s">
        <v>8412</v>
      </c>
      <c r="C18" s="96"/>
      <c r="D18" s="96"/>
      <c r="E18" s="96"/>
      <c r="F18" s="96"/>
      <c r="G18" s="96"/>
      <c r="H18" s="96"/>
    </row>
    <row r="19" customFormat="false" ht="18" hidden="false" customHeight="true" outlineLevel="0" collapsed="false">
      <c r="B19" s="126" t="s">
        <v>8413</v>
      </c>
      <c r="C19" s="1282" t="n">
        <f aca="false">'Borderless · Drivers'!C18</f>
        <v>195</v>
      </c>
      <c r="D19" s="565" t="s">
        <v>8414</v>
      </c>
      <c r="E19" s="6"/>
    </row>
    <row r="20" customFormat="false" ht="18" hidden="false" customHeight="true" outlineLevel="0" collapsed="false">
      <c r="B20" s="126" t="s">
        <v>8415</v>
      </c>
      <c r="C20" s="1223" t="n">
        <f aca="false">'Borderless · Drivers'!C23/'Borderless · Drivers'!C19</f>
        <v>0.55</v>
      </c>
      <c r="D20" s="565" t="s">
        <v>8416</v>
      </c>
      <c r="E20" s="6"/>
    </row>
    <row r="21" customFormat="false" ht="18" hidden="false" customHeight="true" outlineLevel="0" collapsed="false">
      <c r="B21" s="126" t="s">
        <v>8417</v>
      </c>
      <c r="C21" s="1438" t="n">
        <f aca="false">'Borderless · Revenue'!E21/('Borderless · Drivers'!C18*12)</f>
        <v>123.717948717949</v>
      </c>
      <c r="D21" s="565" t="s">
        <v>8418</v>
      </c>
      <c r="E21" s="6"/>
    </row>
    <row r="22" customFormat="false" ht="15" hidden="false" customHeight="true" outlineLevel="0" collapsed="false">
      <c r="B22" s="6"/>
      <c r="E22" s="6"/>
    </row>
    <row r="23" customFormat="false" ht="21.75" hidden="false" customHeight="true" outlineLevel="0" collapsed="false">
      <c r="B23" s="575" t="s">
        <v>5037</v>
      </c>
      <c r="C23" s="575"/>
      <c r="D23" s="575"/>
      <c r="E23" s="575"/>
      <c r="F23" s="575"/>
      <c r="G23" s="575"/>
      <c r="H23" s="575"/>
    </row>
    <row r="24" customFormat="false" ht="18" hidden="false" customHeight="true" outlineLevel="0" collapsed="false">
      <c r="B24" s="81" t="s">
        <v>5038</v>
      </c>
      <c r="C24" s="1390" t="n">
        <f aca="false">'Borderless · Revenue'!E21</f>
        <v>289500</v>
      </c>
      <c r="D24" s="565" t="s">
        <v>7173</v>
      </c>
      <c r="E24" s="6"/>
    </row>
    <row r="25" customFormat="false" ht="18" hidden="false" customHeight="true" outlineLevel="0" collapsed="false">
      <c r="B25" s="113" t="s">
        <v>4973</v>
      </c>
      <c r="C25" s="406" t="n">
        <f aca="false">'Borderless · Costs'!C17</f>
        <v>92500</v>
      </c>
      <c r="D25" s="565" t="s">
        <v>8419</v>
      </c>
      <c r="E25" s="6"/>
    </row>
    <row r="26" customFormat="false" ht="18" hidden="false" customHeight="true" outlineLevel="0" collapsed="false">
      <c r="B26" s="81" t="s">
        <v>7380</v>
      </c>
      <c r="C26" s="1390" t="n">
        <f aca="false">'Borderless · Costs'!C30</f>
        <v>197000</v>
      </c>
      <c r="D26" s="565" t="s">
        <v>7175</v>
      </c>
      <c r="E26" s="6"/>
    </row>
    <row r="27" customFormat="false" ht="18" hidden="false" customHeight="true" outlineLevel="0" collapsed="false">
      <c r="B27" s="81" t="s">
        <v>4991</v>
      </c>
      <c r="C27" s="1393" t="n">
        <f aca="false">C26/C24</f>
        <v>0.680483592400691</v>
      </c>
      <c r="D27" s="565" t="s">
        <v>8420</v>
      </c>
      <c r="E27" s="6"/>
    </row>
  </sheetData>
  <mergeCells count="6">
    <mergeCell ref="B2:F2"/>
    <mergeCell ref="G2:J2"/>
    <mergeCell ref="B3:J3"/>
    <mergeCell ref="B5:H5"/>
    <mergeCell ref="B18:H18"/>
    <mergeCell ref="B23:H2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8421</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8191</v>
      </c>
      <c r="C5" s="575"/>
      <c r="D5" s="575"/>
      <c r="E5" s="575"/>
      <c r="F5" s="575"/>
      <c r="G5" s="575"/>
      <c r="H5" s="575"/>
    </row>
    <row r="6" customFormat="false" ht="15" hidden="false" customHeight="true" outlineLevel="0" collapsed="false">
      <c r="B6" s="6"/>
      <c r="E6" s="6"/>
    </row>
    <row r="7" customFormat="false" ht="18" hidden="false" customHeight="true" outlineLevel="0" collapsed="false">
      <c r="B7" s="113" t="s">
        <v>4971</v>
      </c>
      <c r="C7" s="1299" t="n">
        <f aca="false">'Borderless · Costs'!C20</f>
        <v>16000</v>
      </c>
      <c r="D7" s="565" t="s">
        <v>8422</v>
      </c>
      <c r="E7" s="6"/>
    </row>
    <row r="8" customFormat="false" ht="18" hidden="false" customHeight="true" outlineLevel="0" collapsed="false">
      <c r="B8" s="113" t="s">
        <v>5052</v>
      </c>
      <c r="C8" s="1300" t="n">
        <f aca="false">'Borderless · Costs'!C23</f>
        <v>0.264248704663212</v>
      </c>
      <c r="D8" s="565" t="s">
        <v>7179</v>
      </c>
      <c r="E8" s="6"/>
    </row>
    <row r="9" customFormat="false" ht="18" hidden="false" customHeight="true" outlineLevel="0" collapsed="false">
      <c r="B9" s="113" t="s">
        <v>5054</v>
      </c>
      <c r="C9" s="1300" t="n">
        <f aca="false">1-C8</f>
        <v>0.735751295336788</v>
      </c>
      <c r="D9" s="565" t="s">
        <v>8423</v>
      </c>
      <c r="E9" s="6"/>
    </row>
    <row r="10" customFormat="false" ht="15" hidden="false" customHeight="true" outlineLevel="0" collapsed="false">
      <c r="B10" s="6"/>
      <c r="E10" s="6"/>
    </row>
    <row r="11" customFormat="false" ht="18" hidden="false" customHeight="true" outlineLevel="0" collapsed="false">
      <c r="B11" s="81" t="s">
        <v>8424</v>
      </c>
      <c r="C11" s="406" t="n">
        <f aca="false">C7/C9</f>
        <v>21746.4788732394</v>
      </c>
      <c r="D11" s="565" t="s">
        <v>5057</v>
      </c>
      <c r="E11" s="6"/>
    </row>
    <row r="12" customFormat="false" ht="18" hidden="false" customHeight="true" outlineLevel="0" collapsed="false">
      <c r="B12" s="113" t="s">
        <v>5058</v>
      </c>
      <c r="C12" s="1299" t="n">
        <f aca="false">'Borderless · Revenue'!E21</f>
        <v>289500</v>
      </c>
      <c r="D12" s="565" t="s">
        <v>6657</v>
      </c>
      <c r="E12" s="6"/>
    </row>
    <row r="13" customFormat="false" ht="18" hidden="false" customHeight="true" outlineLevel="0" collapsed="false">
      <c r="B13" s="113" t="s">
        <v>5060</v>
      </c>
      <c r="C13" s="1300" t="n">
        <f aca="false">C12/C11-1</f>
        <v>12.3125</v>
      </c>
      <c r="D13" s="565" t="s">
        <v>6675</v>
      </c>
      <c r="E13" s="6"/>
    </row>
    <row r="14" customFormat="false" ht="15" hidden="false" customHeight="true" outlineLevel="0" collapsed="false">
      <c r="B14" s="6"/>
      <c r="E14" s="6"/>
    </row>
    <row r="15" customFormat="false" ht="21.75" hidden="false" customHeight="true" outlineLevel="0" collapsed="false">
      <c r="B15" s="575" t="s">
        <v>8425</v>
      </c>
      <c r="C15" s="575"/>
      <c r="D15" s="575"/>
      <c r="E15" s="575"/>
      <c r="F15" s="575"/>
      <c r="G15" s="575"/>
      <c r="H15" s="575"/>
    </row>
    <row r="16" customFormat="false" ht="18" hidden="false" customHeight="true" outlineLevel="0" collapsed="false">
      <c r="B16" s="113" t="s">
        <v>8426</v>
      </c>
      <c r="C16" s="1299" t="n">
        <f aca="false">'Borderless · Drivers'!C29</f>
        <v>30000</v>
      </c>
      <c r="D16" s="565" t="s">
        <v>8427</v>
      </c>
      <c r="E16" s="6"/>
    </row>
    <row r="17" customFormat="false" ht="18" hidden="false" customHeight="true" outlineLevel="0" collapsed="false">
      <c r="B17" s="1076" t="s">
        <v>8428</v>
      </c>
      <c r="C17" s="1449" t="n">
        <f aca="false">C11/C16</f>
        <v>0.724882629107981</v>
      </c>
      <c r="D17" s="565" t="s">
        <v>8429</v>
      </c>
      <c r="E17" s="6"/>
    </row>
    <row r="18" customFormat="false" ht="18" hidden="false" customHeight="true" outlineLevel="0" collapsed="false">
      <c r="B18" s="113" t="s">
        <v>8430</v>
      </c>
      <c r="C18" s="1299" t="n">
        <f aca="false">'Borderless · Drivers'!C27</f>
        <v>4500</v>
      </c>
      <c r="D18" s="565" t="s">
        <v>8431</v>
      </c>
      <c r="E18" s="6"/>
    </row>
    <row r="19" customFormat="false" ht="18" hidden="false" customHeight="true" outlineLevel="0" collapsed="false">
      <c r="B19" s="1076" t="s">
        <v>8432</v>
      </c>
      <c r="C19" s="1449" t="n">
        <f aca="false">C11/C18</f>
        <v>4.83255086071988</v>
      </c>
      <c r="D19" s="565" t="s">
        <v>8433</v>
      </c>
      <c r="E19" s="6"/>
    </row>
    <row r="20" customFormat="false" ht="15" hidden="false" customHeight="true" outlineLevel="0" collapsed="false">
      <c r="B20" s="6"/>
      <c r="E20" s="6"/>
    </row>
    <row r="21" customFormat="false" ht="48.75" hidden="false" customHeight="true" outlineLevel="0" collapsed="false">
      <c r="B21" s="1456" t="s">
        <v>8434</v>
      </c>
      <c r="C21" s="1456"/>
      <c r="D21" s="1456"/>
      <c r="E21" s="6"/>
    </row>
  </sheetData>
  <mergeCells count="6">
    <mergeCell ref="B2:F2"/>
    <mergeCell ref="G2:J2"/>
    <mergeCell ref="B3:J3"/>
    <mergeCell ref="B5:H5"/>
    <mergeCell ref="B15:H15"/>
    <mergeCell ref="B21:D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20"/>
    <col collapsed="false" customWidth="true" hidden="false" outlineLevel="0" max="11" min="8" style="0" width="12"/>
  </cols>
  <sheetData>
    <row r="1" customFormat="false" ht="3.75" hidden="false" customHeight="true" outlineLevel="0" collapsed="false">
      <c r="B1" s="1"/>
      <c r="C1" s="2"/>
      <c r="D1" s="2"/>
      <c r="E1" s="2"/>
      <c r="F1" s="1"/>
      <c r="G1" s="2"/>
    </row>
    <row r="2" customFormat="false" ht="27.75" hidden="false" customHeight="true" outlineLevel="0" collapsed="false">
      <c r="B2" s="88" t="s">
        <v>8435</v>
      </c>
      <c r="C2" s="88"/>
      <c r="D2" s="88"/>
      <c r="E2" s="88"/>
      <c r="F2" s="1023" t="s">
        <v>995</v>
      </c>
      <c r="G2" s="1023"/>
    </row>
    <row r="3" customFormat="false" ht="33.75" hidden="false" customHeight="true" outlineLevel="0" collapsed="false">
      <c r="B3" s="90" t="s">
        <v>5994</v>
      </c>
      <c r="C3" s="90"/>
      <c r="D3" s="90"/>
      <c r="E3" s="90"/>
      <c r="F3" s="90"/>
      <c r="G3" s="90"/>
    </row>
    <row r="4" customFormat="false" ht="15" hidden="false" customHeight="true" outlineLevel="0" collapsed="false">
      <c r="B4" s="6"/>
      <c r="F4" s="6"/>
    </row>
    <row r="5" customFormat="false" ht="21.75" hidden="false" customHeight="true" outlineLevel="0" collapsed="false">
      <c r="B5" s="96" t="s">
        <v>5995</v>
      </c>
      <c r="C5" s="96"/>
      <c r="D5" s="96"/>
      <c r="E5" s="96"/>
      <c r="F5" s="96"/>
      <c r="G5" s="96"/>
    </row>
    <row r="6" customFormat="false" ht="21.75" hidden="false" customHeight="true" outlineLevel="0" collapsed="false">
      <c r="B6" s="97" t="s">
        <v>3445</v>
      </c>
      <c r="C6" s="98" t="s">
        <v>5996</v>
      </c>
      <c r="D6" s="98" t="s">
        <v>5073</v>
      </c>
      <c r="E6" s="98" t="s">
        <v>4241</v>
      </c>
      <c r="F6" s="99" t="s">
        <v>4242</v>
      </c>
      <c r="G6" s="98" t="s">
        <v>778</v>
      </c>
    </row>
    <row r="7" customFormat="false" ht="15" hidden="false" customHeight="true" outlineLevel="0" collapsed="false">
      <c r="B7" s="113" t="s">
        <v>8436</v>
      </c>
      <c r="C7" s="567" t="n">
        <f aca="false">'Borderless · Revenue'!E10/4500</f>
        <v>0</v>
      </c>
      <c r="D7" s="480" t="n">
        <f aca="false">'Borderless · Revenue'!E10/4500</f>
        <v>0</v>
      </c>
      <c r="E7" s="740" t="n">
        <f aca="false">IFERROR(D7/C7,0)</f>
        <v>0</v>
      </c>
      <c r="F7" s="1395" t="n">
        <f aca="false">IFERROR(1-E7,0)</f>
        <v>1</v>
      </c>
      <c r="G7" s="634" t="s">
        <v>8437</v>
      </c>
    </row>
    <row r="8" customFormat="false" ht="15" hidden="false" customHeight="true" outlineLevel="0" collapsed="false">
      <c r="B8" s="113" t="s">
        <v>8438</v>
      </c>
      <c r="C8" s="567" t="n">
        <f aca="false">'Borderless · Revenue'!E14/4500</f>
        <v>0</v>
      </c>
      <c r="D8" s="480" t="n">
        <f aca="false">'Borderless · Revenue'!E14/4500</f>
        <v>0</v>
      </c>
      <c r="E8" s="740" t="n">
        <f aca="false">IFERROR(D8/C8,0)</f>
        <v>0</v>
      </c>
      <c r="F8" s="1395" t="n">
        <f aca="false">IFERROR(1-E8,0)</f>
        <v>1</v>
      </c>
      <c r="G8" s="634" t="s">
        <v>8439</v>
      </c>
    </row>
    <row r="9" customFormat="false" ht="15" hidden="false" customHeight="true" outlineLevel="0" collapsed="false">
      <c r="B9" s="113" t="s">
        <v>8440</v>
      </c>
      <c r="C9" s="567" t="n">
        <f aca="false">'Borderless · Revenue'!E18/28000</f>
        <v>5.35714285714286</v>
      </c>
      <c r="D9" s="480" t="n">
        <f aca="false">'Borderless · Revenue'!E18/28000</f>
        <v>5.35714285714286</v>
      </c>
      <c r="E9" s="740" t="n">
        <f aca="false">IFERROR(D9/C9,0)</f>
        <v>1</v>
      </c>
      <c r="F9" s="1395" t="n">
        <f aca="false">IFERROR(1-E9,0)</f>
        <v>0</v>
      </c>
      <c r="G9" s="634" t="s">
        <v>8441</v>
      </c>
    </row>
    <row r="10" customFormat="false" ht="15" hidden="false" customHeight="true" outlineLevel="0" collapsed="false">
      <c r="B10" s="113" t="s">
        <v>8442</v>
      </c>
      <c r="C10" s="567" t="n">
        <f aca="false">'Borderless · Revenue'!E20/3000</f>
        <v>0</v>
      </c>
      <c r="D10" s="480" t="n">
        <f aca="false">'Borderless · Revenue'!E20/3000</f>
        <v>0</v>
      </c>
      <c r="E10" s="740" t="n">
        <f aca="false">IFERROR(D10/C10,0)</f>
        <v>0</v>
      </c>
      <c r="F10" s="1395" t="n">
        <f aca="false">IFERROR(1-E10,0)</f>
        <v>1</v>
      </c>
      <c r="G10" s="634" t="s">
        <v>8443</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1.75" hidden="false" customHeight="true" outlineLevel="0" collapsed="false">
      <c r="B13" s="97" t="s">
        <v>738</v>
      </c>
      <c r="C13" s="98" t="s">
        <v>4247</v>
      </c>
      <c r="D13" s="98" t="s">
        <v>3446</v>
      </c>
      <c r="E13" s="98" t="s">
        <v>4249</v>
      </c>
      <c r="F13" s="99" t="s">
        <v>778</v>
      </c>
    </row>
    <row r="14" customFormat="false" ht="15" hidden="false" customHeight="true" outlineLevel="0" collapsed="false">
      <c r="B14" s="113" t="s">
        <v>4250</v>
      </c>
      <c r="C14" s="1396" t="n">
        <v>1</v>
      </c>
      <c r="D14" s="606" t="n">
        <f aca="false">'Borderless · Revenue'!E21</f>
        <v>289500</v>
      </c>
      <c r="E14" s="706" t="s">
        <v>672</v>
      </c>
      <c r="F14" s="592" t="s">
        <v>4251</v>
      </c>
    </row>
    <row r="15" customFormat="false" ht="15" hidden="false" customHeight="true" outlineLevel="0" collapsed="false">
      <c r="B15" s="113" t="s">
        <v>6005</v>
      </c>
      <c r="C15" s="1396" t="n">
        <v>1.25</v>
      </c>
      <c r="D15" s="648" t="n">
        <f aca="false">'Borderless · Revenue'!E21*1.25</f>
        <v>361875</v>
      </c>
      <c r="E15" s="1397" t="n">
        <f aca="false">D15/D14-1</f>
        <v>0.25</v>
      </c>
      <c r="F15" s="592" t="s">
        <v>6006</v>
      </c>
    </row>
    <row r="16" customFormat="false" ht="15" hidden="false" customHeight="true" outlineLevel="0" collapsed="false">
      <c r="B16" s="113" t="s">
        <v>6007</v>
      </c>
      <c r="C16" s="1396" t="n">
        <v>1.5</v>
      </c>
      <c r="D16" s="648" t="n">
        <f aca="false">'Borderless · Revenue'!E21*1.5</f>
        <v>434250</v>
      </c>
      <c r="E16" s="1397" t="n">
        <f aca="false">D16/D14-1</f>
        <v>0.5</v>
      </c>
      <c r="F16" s="592" t="s">
        <v>6008</v>
      </c>
    </row>
    <row r="17" customFormat="false" ht="15" hidden="false" customHeight="true" outlineLevel="0" collapsed="false">
      <c r="B17" s="113" t="s">
        <v>6009</v>
      </c>
      <c r="C17" s="1396" t="n">
        <v>2</v>
      </c>
      <c r="D17" s="648" t="n">
        <f aca="false">'Borderless · Revenue'!E21*2</f>
        <v>579000</v>
      </c>
      <c r="E17" s="1397" t="n">
        <f aca="false">D17/D14-1</f>
        <v>1</v>
      </c>
      <c r="F17" s="592" t="s">
        <v>6010</v>
      </c>
    </row>
    <row r="18" customFormat="false" ht="15" hidden="false" customHeight="true" outlineLevel="0" collapsed="false">
      <c r="B18" s="6"/>
      <c r="F18" s="6"/>
    </row>
    <row r="19" customFormat="false" ht="21.75" hidden="false" customHeight="true" outlineLevel="0" collapsed="false">
      <c r="B19" s="72" t="s">
        <v>6011</v>
      </c>
      <c r="C19" s="72"/>
      <c r="D19" s="72"/>
      <c r="E19" s="72"/>
      <c r="F19" s="72"/>
      <c r="G19" s="72"/>
    </row>
    <row r="20" customFormat="false" ht="120" hidden="false" customHeight="true" outlineLevel="0" collapsed="false">
      <c r="B20" s="1398" t="s">
        <v>8444</v>
      </c>
      <c r="C20" s="1398"/>
      <c r="D20" s="1398"/>
      <c r="E20" s="1398"/>
      <c r="F20" s="1398"/>
      <c r="G20" s="1398"/>
    </row>
    <row r="21" customFormat="false" ht="15" hidden="false" customHeight="true" outlineLevel="0" collapsed="false">
      <c r="B21" s="1398"/>
      <c r="C21" s="1398"/>
      <c r="D21" s="1398"/>
      <c r="E21" s="1398"/>
      <c r="F21" s="1398"/>
      <c r="G21" s="1398"/>
    </row>
    <row r="22" customFormat="false" ht="15" hidden="false" customHeight="true" outlineLevel="0" collapsed="false">
      <c r="B22" s="1398"/>
      <c r="C22" s="1398"/>
      <c r="D22" s="1398"/>
      <c r="E22" s="1398"/>
      <c r="F22" s="1398"/>
      <c r="G22" s="1398"/>
    </row>
    <row r="23" customFormat="false" ht="15" hidden="false" customHeight="true" outlineLevel="0" collapsed="false">
      <c r="B23" s="1398"/>
      <c r="C23" s="1398"/>
      <c r="D23" s="1398"/>
      <c r="E23" s="1398"/>
      <c r="F23" s="1398"/>
      <c r="G23" s="1398"/>
    </row>
    <row r="24" customFormat="false" ht="15" hidden="false" customHeight="true" outlineLevel="0" collapsed="false">
      <c r="B24" s="1398"/>
      <c r="C24" s="1398"/>
      <c r="D24" s="1398"/>
      <c r="E24" s="1398"/>
      <c r="F24" s="1398"/>
      <c r="G24" s="1398"/>
    </row>
  </sheetData>
  <mergeCells count="7">
    <mergeCell ref="B2:E2"/>
    <mergeCell ref="F2:G2"/>
    <mergeCell ref="B3:G3"/>
    <mergeCell ref="B5:G5"/>
    <mergeCell ref="B12:G12"/>
    <mergeCell ref="B19:G19"/>
    <mergeCell ref="B20:G2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8"/>
    <col collapsed="false" customWidth="true" hidden="false" outlineLevel="0" max="8" min="8" style="0" width="9"/>
    <col collapsed="false" customWidth="true" hidden="false" outlineLevel="0" max="9" min="9" style="0" width="20"/>
    <col collapsed="false" customWidth="true" hidden="false" outlineLevel="0" max="11" min="10" style="0" width="12"/>
  </cols>
  <sheetData>
    <row r="1" customFormat="false" ht="3.75" hidden="false" customHeight="true" outlineLevel="0" collapsed="false">
      <c r="B1" s="1"/>
      <c r="C1" s="2"/>
      <c r="D1" s="2"/>
      <c r="E1" s="2"/>
      <c r="F1" s="1"/>
      <c r="G1" s="2"/>
      <c r="H1" s="2"/>
      <c r="I1" s="2"/>
    </row>
    <row r="2" customFormat="false" ht="27.75" hidden="false" customHeight="true" outlineLevel="0" collapsed="false">
      <c r="B2" s="88" t="s">
        <v>8445</v>
      </c>
      <c r="C2" s="88"/>
      <c r="D2" s="88"/>
      <c r="E2" s="88"/>
      <c r="F2" s="1023" t="s">
        <v>995</v>
      </c>
      <c r="G2" s="1023"/>
      <c r="H2" s="1023"/>
      <c r="I2" s="1023"/>
    </row>
    <row r="3" customFormat="false" ht="33.75" hidden="false" customHeight="true" outlineLevel="0" collapsed="false">
      <c r="B3" s="90" t="s">
        <v>7199</v>
      </c>
      <c r="C3" s="90"/>
      <c r="D3" s="90"/>
      <c r="E3" s="90"/>
      <c r="F3" s="90"/>
      <c r="G3" s="90"/>
      <c r="H3" s="90"/>
      <c r="I3" s="90"/>
    </row>
    <row r="4" customFormat="false" ht="15" hidden="false" customHeight="true" outlineLevel="0" collapsed="false">
      <c r="B4" s="6"/>
      <c r="F4" s="6"/>
    </row>
    <row r="5" customFormat="false" ht="21.75" hidden="false" customHeight="true" outlineLevel="0" collapsed="false">
      <c r="B5" s="96" t="s">
        <v>5096</v>
      </c>
      <c r="C5" s="96"/>
      <c r="D5" s="96"/>
      <c r="E5" s="96"/>
      <c r="F5" s="96"/>
      <c r="G5" s="96"/>
      <c r="I5" s="958" t="s">
        <v>4262</v>
      </c>
    </row>
    <row r="6" customFormat="false" ht="21.75" hidden="false" customHeight="true" outlineLevel="0" collapsed="false">
      <c r="B6" s="97" t="s">
        <v>3507</v>
      </c>
      <c r="C6" s="98" t="s">
        <v>4263</v>
      </c>
      <c r="D6" s="98" t="s">
        <v>4264</v>
      </c>
      <c r="E6" s="98" t="s">
        <v>2930</v>
      </c>
      <c r="F6" s="99" t="s">
        <v>4265</v>
      </c>
      <c r="G6" s="98" t="s">
        <v>4266</v>
      </c>
    </row>
    <row r="7" customFormat="false" ht="15" hidden="false" customHeight="true" outlineLevel="0" collapsed="false">
      <c r="B7" s="113" t="s">
        <v>8446</v>
      </c>
      <c r="C7" s="533" t="n">
        <f aca="false">'Borderless · Revenue'!E10/4500</f>
        <v>0</v>
      </c>
      <c r="D7" s="1450" t="s">
        <v>8447</v>
      </c>
      <c r="E7" s="1451" t="s">
        <v>4287</v>
      </c>
      <c r="F7" s="1289" t="s">
        <v>8448</v>
      </c>
      <c r="G7" s="565" t="s">
        <v>8449</v>
      </c>
    </row>
    <row r="8" customFormat="false" ht="15" hidden="false" customHeight="true" outlineLevel="0" collapsed="false">
      <c r="B8" s="113" t="s">
        <v>8450</v>
      </c>
      <c r="C8" s="533" t="n">
        <f aca="false">8</f>
        <v>8</v>
      </c>
      <c r="D8" s="1450" t="s">
        <v>8451</v>
      </c>
      <c r="E8" s="1451" t="s">
        <v>4287</v>
      </c>
      <c r="F8" s="1289" t="s">
        <v>8214</v>
      </c>
      <c r="G8" s="565" t="s">
        <v>8452</v>
      </c>
    </row>
    <row r="9" customFormat="false" ht="15" hidden="false" customHeight="true" outlineLevel="0" collapsed="false">
      <c r="B9" s="113" t="s">
        <v>8453</v>
      </c>
      <c r="C9" s="533" t="n">
        <f aca="false">5</f>
        <v>5</v>
      </c>
      <c r="D9" s="1450" t="s">
        <v>8220</v>
      </c>
      <c r="E9" s="1451" t="s">
        <v>4302</v>
      </c>
      <c r="F9" s="1289" t="s">
        <v>8214</v>
      </c>
      <c r="G9" s="565" t="s">
        <v>8454</v>
      </c>
    </row>
    <row r="10" customFormat="false" ht="15" hidden="false" customHeight="true" outlineLevel="0" collapsed="false">
      <c r="B10" s="113" t="s">
        <v>8455</v>
      </c>
      <c r="C10" s="1314" t="n">
        <f aca="false">0.1</f>
        <v>0.1</v>
      </c>
      <c r="D10" s="1450" t="s">
        <v>8456</v>
      </c>
      <c r="E10" s="1451" t="s">
        <v>4302</v>
      </c>
      <c r="F10" s="1289" t="s">
        <v>8448</v>
      </c>
      <c r="G10" s="565" t="s">
        <v>8457</v>
      </c>
    </row>
    <row r="11" customFormat="false" ht="15" hidden="false" customHeight="true" outlineLevel="0" collapsed="false">
      <c r="B11" s="113" t="s">
        <v>8458</v>
      </c>
      <c r="C11" s="1314" t="n">
        <f aca="false">0.75</f>
        <v>0.75</v>
      </c>
      <c r="D11" s="1450" t="s">
        <v>7216</v>
      </c>
      <c r="E11" s="1451" t="s">
        <v>7439</v>
      </c>
      <c r="F11" s="1289" t="s">
        <v>8448</v>
      </c>
      <c r="G11" s="565" t="s">
        <v>8459</v>
      </c>
    </row>
    <row r="12" customFormat="false" ht="15" hidden="false" customHeight="true" outlineLevel="0" collapsed="false">
      <c r="B12" s="113" t="s">
        <v>8460</v>
      </c>
      <c r="C12" s="1314" t="n">
        <f aca="false">0.4</f>
        <v>0.4</v>
      </c>
      <c r="D12" s="1450" t="s">
        <v>7930</v>
      </c>
      <c r="E12" s="1451" t="s">
        <v>7439</v>
      </c>
      <c r="F12" s="1289" t="s">
        <v>8214</v>
      </c>
      <c r="G12" s="565" t="s">
        <v>8461</v>
      </c>
    </row>
    <row r="13" customFormat="false" ht="15" hidden="false" customHeight="true" outlineLevel="0" collapsed="false">
      <c r="B13" s="6"/>
      <c r="F13" s="6"/>
    </row>
    <row r="14" customFormat="false" ht="21.75" hidden="false" customHeight="true" outlineLevel="0" collapsed="false">
      <c r="B14" s="72" t="s">
        <v>4312</v>
      </c>
      <c r="C14" s="72"/>
      <c r="D14" s="72"/>
      <c r="E14" s="72"/>
      <c r="F14" s="72"/>
      <c r="G14" s="72"/>
    </row>
    <row r="15" customFormat="false" ht="21.75" hidden="false" customHeight="true" outlineLevel="0" collapsed="false">
      <c r="B15" s="97" t="s">
        <v>3507</v>
      </c>
      <c r="C15" s="98" t="s">
        <v>4313</v>
      </c>
      <c r="D15" s="98" t="s">
        <v>2255</v>
      </c>
      <c r="E15" s="98" t="s">
        <v>2930</v>
      </c>
      <c r="F15" s="99" t="s">
        <v>4265</v>
      </c>
      <c r="G15" s="98" t="s">
        <v>1658</v>
      </c>
    </row>
    <row r="16" customFormat="false" ht="15" hidden="false" customHeight="true" outlineLevel="0" collapsed="false">
      <c r="B16" s="113" t="s">
        <v>4314</v>
      </c>
      <c r="C16" s="544" t="n">
        <f aca="false">'Borderless · Revenue'!E21/12</f>
        <v>24125</v>
      </c>
      <c r="D16" s="1450" t="s">
        <v>4269</v>
      </c>
      <c r="E16" s="1451" t="s">
        <v>4287</v>
      </c>
      <c r="F16" s="1289" t="s">
        <v>4315</v>
      </c>
      <c r="G16" s="565" t="s">
        <v>4316</v>
      </c>
    </row>
    <row r="17" customFormat="false" ht="15" hidden="false" customHeight="true" outlineLevel="0" collapsed="false">
      <c r="B17" s="113" t="s">
        <v>4317</v>
      </c>
      <c r="C17" s="544" t="n">
        <f aca="false">'Borderless · Costs'!C30/12</f>
        <v>16416.6666666667</v>
      </c>
      <c r="D17" s="1450" t="s">
        <v>4318</v>
      </c>
      <c r="E17" s="1451" t="s">
        <v>4287</v>
      </c>
      <c r="F17" s="1289" t="s">
        <v>4315</v>
      </c>
      <c r="G17" s="565" t="s">
        <v>4316</v>
      </c>
    </row>
    <row r="18" customFormat="false" ht="15" hidden="false" customHeight="true" outlineLevel="0" collapsed="false">
      <c r="B18" s="113" t="s">
        <v>4070</v>
      </c>
      <c r="C18" s="1288" t="n">
        <f aca="false">'Borderless · Costs'!C30/'Borderless · Revenue'!E21</f>
        <v>0.680483592400691</v>
      </c>
      <c r="D18" s="1450" t="s">
        <v>7216</v>
      </c>
      <c r="E18" s="1451" t="s">
        <v>4287</v>
      </c>
      <c r="F18" s="1289" t="s">
        <v>4315</v>
      </c>
      <c r="G18" s="565" t="s">
        <v>4320</v>
      </c>
    </row>
    <row r="19" customFormat="false" ht="15" hidden="false" customHeight="true" outlineLevel="0" collapsed="false">
      <c r="B19" s="113" t="s">
        <v>4321</v>
      </c>
      <c r="C19" s="544" t="n">
        <f aca="false">'Borderless · Cash Flow'!F28/12</f>
        <v>17596.9762367951</v>
      </c>
      <c r="D19" s="1450" t="s">
        <v>4322</v>
      </c>
      <c r="E19" s="1451" t="s">
        <v>4287</v>
      </c>
      <c r="F19" s="1289" t="s">
        <v>4315</v>
      </c>
      <c r="G19" s="565" t="s">
        <v>6065</v>
      </c>
    </row>
    <row r="20" customFormat="false" ht="15" hidden="false" customHeight="true" outlineLevel="0" collapsed="false">
      <c r="B20" s="113" t="s">
        <v>138</v>
      </c>
      <c r="C20" s="544" t="n">
        <f aca="false">'Borderless · Costs'!C30</f>
        <v>197000</v>
      </c>
      <c r="D20" s="1450" t="s">
        <v>7217</v>
      </c>
      <c r="E20" s="1451" t="s">
        <v>4302</v>
      </c>
      <c r="F20" s="1289" t="s">
        <v>4315</v>
      </c>
      <c r="G20" s="565" t="s">
        <v>91</v>
      </c>
    </row>
    <row r="21" customFormat="false" ht="15" hidden="false" customHeight="true" outlineLevel="0" collapsed="false">
      <c r="B21" s="113" t="s">
        <v>7218</v>
      </c>
      <c r="C21" s="1288" t="n">
        <f aca="false">'Borderless · 8-Year'!F11/'Borderless · 8-Year'!E11-1</f>
        <v>0.03</v>
      </c>
      <c r="D21" s="1450" t="s">
        <v>5302</v>
      </c>
      <c r="E21" s="1451" t="s">
        <v>4330</v>
      </c>
      <c r="F21" s="1289" t="s">
        <v>4315</v>
      </c>
      <c r="G21" s="565" t="s">
        <v>7219</v>
      </c>
    </row>
    <row r="22" customFormat="false" ht="15" hidden="false" customHeight="true" outlineLevel="0" collapsed="false">
      <c r="B22" s="6"/>
      <c r="F22" s="6"/>
    </row>
    <row r="23" customFormat="false" ht="15" hidden="false" customHeight="true" outlineLevel="0" collapsed="false">
      <c r="B23" s="6"/>
      <c r="F23" s="6"/>
    </row>
    <row r="24" customFormat="false" ht="21.75" hidden="false" customHeight="true" outlineLevel="0" collapsed="false">
      <c r="B24" s="304" t="s">
        <v>5173</v>
      </c>
      <c r="C24" s="304"/>
      <c r="D24" s="304"/>
      <c r="E24" s="304"/>
      <c r="F24" s="304"/>
      <c r="G24" s="304"/>
    </row>
    <row r="25" customFormat="false" ht="120" hidden="false" customHeight="true" outlineLevel="0" collapsed="false">
      <c r="B25" s="85" t="s">
        <v>7220</v>
      </c>
      <c r="C25" s="85"/>
      <c r="D25" s="85"/>
      <c r="E25" s="85"/>
      <c r="F25" s="85"/>
      <c r="G25" s="85"/>
    </row>
    <row r="26" customFormat="false" ht="15" hidden="false" customHeight="true" outlineLevel="0" collapsed="false">
      <c r="B26" s="85"/>
      <c r="C26" s="85"/>
      <c r="D26" s="85"/>
      <c r="E26" s="85"/>
      <c r="F26" s="85"/>
      <c r="G26" s="85"/>
    </row>
    <row r="27" customFormat="false" ht="15" hidden="false" customHeight="true" outlineLevel="0" collapsed="false">
      <c r="B27" s="85"/>
      <c r="C27" s="85"/>
      <c r="D27" s="85"/>
      <c r="E27" s="85"/>
      <c r="F27" s="85"/>
      <c r="G27" s="85"/>
    </row>
    <row r="28" customFormat="false" ht="15" hidden="false" customHeight="true" outlineLevel="0" collapsed="false">
      <c r="B28" s="85"/>
      <c r="C28" s="85"/>
      <c r="D28" s="85"/>
      <c r="E28" s="85"/>
      <c r="F28" s="85"/>
      <c r="G28" s="85"/>
    </row>
    <row r="29" customFormat="false" ht="15" hidden="false" customHeight="true" outlineLevel="0" collapsed="false">
      <c r="B29" s="85"/>
      <c r="C29" s="85"/>
      <c r="D29" s="85"/>
      <c r="E29" s="85"/>
      <c r="F29" s="85"/>
      <c r="G29" s="85"/>
    </row>
  </sheetData>
  <mergeCells count="7">
    <mergeCell ref="B2:E2"/>
    <mergeCell ref="F2:I2"/>
    <mergeCell ref="B3:I3"/>
    <mergeCell ref="B5:G5"/>
    <mergeCell ref="B14:G14"/>
    <mergeCell ref="B24:G24"/>
    <mergeCell ref="B25:G2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8462</v>
      </c>
      <c r="C2" s="878"/>
      <c r="D2" s="878"/>
      <c r="E2" s="878"/>
      <c r="F2" s="878"/>
      <c r="G2" s="89" t="s">
        <v>3432</v>
      </c>
      <c r="H2" s="89"/>
      <c r="I2" s="89"/>
      <c r="J2" s="89"/>
    </row>
    <row r="3" customFormat="false" ht="18" hidden="false" customHeight="true" outlineLevel="0" collapsed="false">
      <c r="B3" s="90" t="s">
        <v>8463</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1984</v>
      </c>
      <c r="C7" s="598" t="n">
        <f aca="false">'Borderless · Drivers'!C7*'Borderless · Drivers'!C8*'Borderless · Drivers'!C9</f>
        <v>30361.32</v>
      </c>
      <c r="D7" s="544" t="n">
        <f aca="false">'Borderless · Drivers'!D7*'Borderless · Drivers'!D8*'Borderless · Drivers'!D9</f>
        <v>49500</v>
      </c>
      <c r="E7" s="1311" t="n">
        <f aca="false">'Borderless · Drivers'!E7*'Borderless · Drivers'!E8*'Borderless · Drivers'!E9</f>
        <v>64686.6</v>
      </c>
      <c r="F7" s="692" t="n">
        <f aca="false">IFERROR(E7/C7,0)</f>
        <v>2.13055954088953</v>
      </c>
    </row>
    <row r="8" customFormat="false" ht="15" hidden="false" customHeight="true" outlineLevel="0" collapsed="false">
      <c r="B8" s="113" t="s">
        <v>1987</v>
      </c>
      <c r="C8" s="598" t="n">
        <f aca="false">'Borderless · Drivers'!C11*'Borderless · Drivers'!C12</f>
        <v>60516</v>
      </c>
      <c r="D8" s="544" t="n">
        <f aca="false">'Borderless · Drivers'!D11*'Borderless · Drivers'!D12</f>
        <v>90000</v>
      </c>
      <c r="E8" s="1311" t="n">
        <f aca="false">'Borderless · Drivers'!E11*'Borderless · Drivers'!E12</f>
        <v>108900</v>
      </c>
      <c r="F8" s="692" t="n">
        <f aca="false">IFERROR(E8/C8,0)</f>
        <v>1.7995240928019</v>
      </c>
    </row>
    <row r="9" customFormat="false" ht="15" hidden="false" customHeight="true" outlineLevel="0" collapsed="false">
      <c r="B9" s="113" t="s">
        <v>8262</v>
      </c>
      <c r="C9" s="598" t="n">
        <f aca="false">'Borderless · Drivers'!C14*'Borderless · Drivers'!C15</f>
        <v>100860</v>
      </c>
      <c r="D9" s="544" t="n">
        <f aca="false">'Borderless · Drivers'!D14*'Borderless · Drivers'!D15</f>
        <v>150000</v>
      </c>
      <c r="E9" s="1311" t="n">
        <f aca="false">'Borderless · Drivers'!E14*'Borderless · Drivers'!E15</f>
        <v>181500</v>
      </c>
      <c r="F9" s="692" t="n">
        <f aca="false">IFERROR(E9/C9,0)</f>
        <v>1.7995240928019</v>
      </c>
    </row>
    <row r="10" customFormat="false" ht="15" hidden="false" customHeight="true" outlineLevel="0" collapsed="false">
      <c r="B10" s="113" t="s">
        <v>4983</v>
      </c>
      <c r="C10" s="1371" t="n">
        <f aca="false">'Borderless · Drivers'!C7*'Borderless · Drivers'!C8*'Borderless · Drivers'!C9 + 'Borderless · Drivers'!C11*'Borderless · Drivers'!C12 + 'Borderless · Drivers'!C14*'Borderless · Drivers'!C15</f>
        <v>191737.32</v>
      </c>
      <c r="D10" s="406" t="n">
        <f aca="false">'Borderless · Drivers'!D7*'Borderless · Drivers'!D8*'Borderless · Drivers'!D9 + 'Borderless · Drivers'!D11*'Borderless · Drivers'!D12 + 'Borderless · Drivers'!D14*'Borderless · Drivers'!D15</f>
        <v>289500</v>
      </c>
      <c r="E10" s="1402" t="n">
        <f aca="false">'Borderless · Drivers'!E7*'Borderless · Drivers'!E8*'Borderless · Drivers'!E9 + 'Borderless · Drivers'!E11*'Borderless · Drivers'!E12 + 'Borderless · Drivers'!E14*'Borderless · Drivers'!E15</f>
        <v>355086.6</v>
      </c>
      <c r="F10" s="692" t="n">
        <f aca="false">IFERROR(E10/C10,0)</f>
        <v>1.85194306460526</v>
      </c>
    </row>
    <row r="11" customFormat="false" ht="15" hidden="false" customHeight="true" outlineLevel="0" collapsed="false">
      <c r="B11" s="6"/>
      <c r="F11" s="6"/>
    </row>
    <row r="12" customFormat="false" ht="15" hidden="false" customHeight="true" outlineLevel="0" collapsed="false">
      <c r="B12" s="6"/>
      <c r="F12" s="6"/>
    </row>
    <row r="13" customFormat="false" ht="33.75" hidden="false" customHeight="true" outlineLevel="0" collapsed="false">
      <c r="B13" s="125" t="s">
        <v>8464</v>
      </c>
      <c r="C13" s="125"/>
      <c r="D13" s="125"/>
      <c r="E13" s="125"/>
      <c r="F13" s="125"/>
      <c r="G13" s="125"/>
      <c r="H13" s="125"/>
    </row>
    <row r="14" customFormat="false" ht="120" hidden="false" customHeight="true" outlineLevel="0" collapsed="false">
      <c r="B14" s="1398" t="s">
        <v>8465</v>
      </c>
      <c r="C14" s="1398"/>
      <c r="D14" s="1398"/>
      <c r="E14" s="1398"/>
      <c r="F14" s="1398"/>
    </row>
    <row r="15" customFormat="false" ht="15" hidden="false" customHeight="true" outlineLevel="0" collapsed="false">
      <c r="B15" s="1398"/>
      <c r="C15" s="1398"/>
      <c r="D15" s="1398"/>
      <c r="E15" s="1398"/>
      <c r="F15" s="1398"/>
    </row>
    <row r="16" customFormat="false" ht="15" hidden="false" customHeight="true" outlineLevel="0" collapsed="false">
      <c r="B16" s="1398"/>
      <c r="C16" s="1398"/>
      <c r="D16" s="1398"/>
      <c r="E16" s="1398"/>
      <c r="F16" s="1398"/>
    </row>
    <row r="17" customFormat="false" ht="15" hidden="false" customHeight="true" outlineLevel="0" collapsed="false">
      <c r="B17" s="1398"/>
      <c r="C17" s="1398"/>
      <c r="D17" s="1398"/>
      <c r="E17" s="1398"/>
      <c r="F17" s="1398"/>
    </row>
    <row r="18" customFormat="false" ht="15" hidden="false" customHeight="true" outlineLevel="0" collapsed="false">
      <c r="B18" s="1398"/>
      <c r="C18" s="1398"/>
      <c r="D18" s="1398"/>
      <c r="E18" s="1398"/>
      <c r="F18" s="1398"/>
    </row>
    <row r="19" customFormat="false" ht="15" hidden="false" customHeight="true" outlineLevel="0" collapsed="false">
      <c r="B19" s="1398"/>
      <c r="C19" s="1398"/>
      <c r="D19" s="1398"/>
      <c r="E19" s="1398"/>
      <c r="F19" s="1398"/>
    </row>
    <row r="20" customFormat="false" ht="15" hidden="false" customHeight="true" outlineLevel="0" collapsed="false">
      <c r="B20" s="6"/>
      <c r="F20" s="6"/>
    </row>
    <row r="21" customFormat="false" ht="21.75" hidden="false" customHeight="true" outlineLevel="0" collapsed="false">
      <c r="B21" s="96" t="s">
        <v>2447</v>
      </c>
      <c r="C21" s="96"/>
      <c r="D21" s="96"/>
      <c r="E21" s="96"/>
      <c r="F21" s="96"/>
      <c r="G21" s="96"/>
      <c r="H21" s="96"/>
    </row>
    <row r="22" customFormat="false" ht="15" hidden="false" customHeight="true" outlineLevel="0" collapsed="false">
      <c r="B22" s="97" t="s">
        <v>738</v>
      </c>
      <c r="C22" s="98" t="s">
        <v>962</v>
      </c>
      <c r="D22" s="98" t="s">
        <v>207</v>
      </c>
      <c r="E22" s="98" t="s">
        <v>2448</v>
      </c>
      <c r="F22" s="6"/>
    </row>
    <row r="23" customFormat="false" ht="15" hidden="false" customHeight="true" outlineLevel="0" collapsed="false">
      <c r="B23" s="113" t="s">
        <v>2449</v>
      </c>
      <c r="C23" s="696" t="n">
        <v>0.2</v>
      </c>
      <c r="D23" s="1316" t="n">
        <f aca="false">C10</f>
        <v>191737.32</v>
      </c>
      <c r="E23" s="544" t="n">
        <f aca="false">C23*D23</f>
        <v>38347.464</v>
      </c>
      <c r="F23" s="6"/>
    </row>
    <row r="24" customFormat="false" ht="15" hidden="false" customHeight="true" outlineLevel="0" collapsed="false">
      <c r="B24" s="113" t="s">
        <v>2283</v>
      </c>
      <c r="C24" s="696" t="n">
        <v>0.55</v>
      </c>
      <c r="D24" s="1316" t="n">
        <f aca="false">D10</f>
        <v>289500</v>
      </c>
      <c r="E24" s="544" t="n">
        <f aca="false">C24*D24</f>
        <v>159225</v>
      </c>
      <c r="F24" s="6"/>
    </row>
    <row r="25" customFormat="false" ht="15" hidden="false" customHeight="true" outlineLevel="0" collapsed="false">
      <c r="B25" s="113" t="s">
        <v>2450</v>
      </c>
      <c r="C25" s="696" t="n">
        <v>0.25</v>
      </c>
      <c r="D25" s="1316" t="n">
        <f aca="false">E10</f>
        <v>355086.6</v>
      </c>
      <c r="E25" s="544" t="n">
        <f aca="false">C25*D25</f>
        <v>88771.65</v>
      </c>
      <c r="F25" s="6"/>
    </row>
    <row r="26" customFormat="false" ht="15" hidden="false" customHeight="true" outlineLevel="0" collapsed="false">
      <c r="B26" s="6" t="s">
        <v>342</v>
      </c>
      <c r="C26" s="698" t="n">
        <f aca="false">SUM(C23:C25)</f>
        <v>1</v>
      </c>
      <c r="F26" s="6"/>
    </row>
    <row r="27" customFormat="false" ht="15" hidden="false" customHeight="true" outlineLevel="0" collapsed="false">
      <c r="B27" s="6"/>
      <c r="F27" s="6"/>
    </row>
    <row r="28" customFormat="false" ht="27.75" hidden="false" customHeight="true" outlineLevel="0" collapsed="false">
      <c r="B28" s="699" t="s">
        <v>5179</v>
      </c>
      <c r="E28" s="578" t="n">
        <f aca="false">SUM(E23:E25)</f>
        <v>286344.114</v>
      </c>
      <c r="F28" s="6"/>
    </row>
  </sheetData>
  <mergeCells count="7">
    <mergeCell ref="B2:F2"/>
    <mergeCell ref="G2:J2"/>
    <mergeCell ref="B3:J3"/>
    <mergeCell ref="B5:H5"/>
    <mergeCell ref="B13:H13"/>
    <mergeCell ref="B14:F19"/>
    <mergeCell ref="B21:H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J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33.75" hidden="false" customHeight="true" outlineLevel="0" collapsed="false">
      <c r="B3" s="90" t="s">
        <v>7221</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08.75" hidden="false" customHeight="true" outlineLevel="0" collapsed="false">
      <c r="B8" s="113" t="s">
        <v>8287</v>
      </c>
      <c r="C8" s="360" t="n">
        <f aca="false">'Borderless · Drivers'!D7*UNIVERSAL_DRIVERS!$C$33*'Borderless · Drivers'!D8*'Borderless · Drivers'!D9 + 'Borderless · Drivers'!D11*'Borderless · Drivers'!D12 + 'Borderless · Drivers'!D14*'Borderless · Drivers'!D15</f>
        <v>279600</v>
      </c>
      <c r="D8" s="1280" t="n">
        <f aca="false">'Borderless · Drivers'!D7*UNIVERSAL_DRIVERS!$C$34*'Borderless · Drivers'!D8*'Borderless · Drivers'!D9 + 'Borderless · Drivers'!D11*'Borderless · Drivers'!D12 + 'Borderless · Drivers'!D14*'Borderless · Drivers'!D15</f>
        <v>284550</v>
      </c>
      <c r="E8" s="1319" t="n">
        <f aca="false">'Borderless · Drivers'!D7*1*'Borderless · Drivers'!D8*'Borderless · Drivers'!D9 + 'Borderless · Drivers'!D11*'Borderless · Drivers'!D12 + 'Borderless · Drivers'!D14*'Borderless · Drivers'!D15</f>
        <v>289500</v>
      </c>
      <c r="F8" s="1320" t="n">
        <f aca="false">'Borderless · Drivers'!D7*1.1*'Borderless · Drivers'!D8*'Borderless · Drivers'!D9 + 'Borderless · Drivers'!D11*'Borderless · Drivers'!D12 + 'Borderless · Drivers'!D14*'Borderless · Drivers'!D15</f>
        <v>294450</v>
      </c>
      <c r="G8" s="1321" t="n">
        <f aca="false">'Borderless · Drivers'!D7*1.2*'Borderless · Drivers'!D8*'Borderless · Drivers'!D9 + 'Borderless · Drivers'!D11*'Borderless · Drivers'!D12 + 'Borderless · Drivers'!D14*'Borderless · Drivers'!D15</f>
        <v>299400</v>
      </c>
    </row>
    <row r="9" customFormat="false" ht="108.75" hidden="false" customHeight="true" outlineLevel="0" collapsed="false">
      <c r="B9" s="113" t="s">
        <v>8466</v>
      </c>
      <c r="C9" s="360" t="n">
        <f aca="false">'Borderless · Drivers'!D7*'Borderless · Drivers'!D8*UNIVERSAL_DRIVERS!$C$33*'Borderless · Drivers'!D9 + 'Borderless · Drivers'!D11*'Borderless · Drivers'!D12 + 'Borderless · Drivers'!D14*'Borderless · Drivers'!D15</f>
        <v>279600</v>
      </c>
      <c r="D9" s="1280" t="n">
        <f aca="false">'Borderless · Drivers'!D7*'Borderless · Drivers'!D8*UNIVERSAL_DRIVERS!$C$34*'Borderless · Drivers'!D9 + 'Borderless · Drivers'!D11*'Borderless · Drivers'!D12 + 'Borderless · Drivers'!D14*'Borderless · Drivers'!D15</f>
        <v>284550</v>
      </c>
      <c r="E9" s="1319" t="n">
        <f aca="false">'Borderless · Drivers'!D7*'Borderless · Drivers'!D8*1*'Borderless · Drivers'!D9 + 'Borderless · Drivers'!D11*'Borderless · Drivers'!D12 + 'Borderless · Drivers'!D14*'Borderless · Drivers'!D15</f>
        <v>289500</v>
      </c>
      <c r="F9" s="1320" t="n">
        <f aca="false">'Borderless · Drivers'!D7*'Borderless · Drivers'!D8*1.1*'Borderless · Drivers'!D9 + 'Borderless · Drivers'!D11*'Borderless · Drivers'!D12 + 'Borderless · Drivers'!D14*'Borderless · Drivers'!D15</f>
        <v>294450</v>
      </c>
      <c r="G9" s="1321" t="n">
        <f aca="false">'Borderless · Drivers'!D7*'Borderless · Drivers'!D8*1.2*'Borderless · Drivers'!D9 + 'Borderless · Drivers'!D11*'Borderless · Drivers'!D12 + 'Borderless · Drivers'!D14*'Borderless · Drivers'!D15</f>
        <v>299400</v>
      </c>
    </row>
    <row r="10" customFormat="false" ht="108.75" hidden="false" customHeight="true" outlineLevel="0" collapsed="false">
      <c r="B10" s="113" t="s">
        <v>8467</v>
      </c>
      <c r="C10" s="360" t="n">
        <f aca="false">'Borderless · Drivers'!D7*'Borderless · Drivers'!D8*'Borderless · Drivers'!D9 + 'Borderless · Drivers'!D11*UNIVERSAL_DRIVERS!$C$33*'Borderless · Drivers'!D12 + 'Borderless · Drivers'!D14*'Borderless · Drivers'!D15</f>
        <v>271500</v>
      </c>
      <c r="D10" s="1280" t="n">
        <f aca="false">'Borderless · Drivers'!D7*'Borderless · Drivers'!D8*'Borderless · Drivers'!D9 + 'Borderless · Drivers'!D11*UNIVERSAL_DRIVERS!$C$34*'Borderless · Drivers'!D12 + 'Borderless · Drivers'!D14*'Borderless · Drivers'!D15</f>
        <v>280500</v>
      </c>
      <c r="E10" s="1319" t="n">
        <f aca="false">'Borderless · Drivers'!D7*'Borderless · Drivers'!D8*'Borderless · Drivers'!D9 + 'Borderless · Drivers'!D11*1*'Borderless · Drivers'!D12 + 'Borderless · Drivers'!D14*'Borderless · Drivers'!D15</f>
        <v>289500</v>
      </c>
      <c r="F10" s="1320" t="n">
        <f aca="false">'Borderless · Drivers'!D7*'Borderless · Drivers'!D8*'Borderless · Drivers'!D9 + 'Borderless · Drivers'!D11*1.1*'Borderless · Drivers'!D12 + 'Borderless · Drivers'!D14*'Borderless · Drivers'!D15</f>
        <v>298500</v>
      </c>
      <c r="G10" s="1321" t="n">
        <f aca="false">'Borderless · Drivers'!D7*'Borderless · Drivers'!D8*'Borderless · Drivers'!D9 + 'Borderless · Drivers'!D11*1.2*'Borderless · Drivers'!D12 + 'Borderless · Drivers'!D14*'Borderless · Drivers'!D15</f>
        <v>307500</v>
      </c>
    </row>
    <row r="11" customFormat="false" ht="108.75" hidden="false" customHeight="true" outlineLevel="0" collapsed="false">
      <c r="B11" s="113" t="s">
        <v>8468</v>
      </c>
      <c r="C11" s="360" t="n">
        <f aca="false">'Borderless · Drivers'!D7*'Borderless · Drivers'!D8*'Borderless · Drivers'!D9 + 'Borderless · Drivers'!D11*'Borderless · Drivers'!D12*UNIVERSAL_DRIVERS!$C$33 + 'Borderless · Drivers'!D14*'Borderless · Drivers'!D15</f>
        <v>271500</v>
      </c>
      <c r="D11" s="1280" t="n">
        <f aca="false">'Borderless · Drivers'!D7*'Borderless · Drivers'!D8*'Borderless · Drivers'!D9 + 'Borderless · Drivers'!D11*'Borderless · Drivers'!D12*UNIVERSAL_DRIVERS!$C$34 + 'Borderless · Drivers'!D14*'Borderless · Drivers'!D15</f>
        <v>280500</v>
      </c>
      <c r="E11" s="1319" t="n">
        <f aca="false">'Borderless · Drivers'!D7*'Borderless · Drivers'!D8*'Borderless · Drivers'!D9 + 'Borderless · Drivers'!D11*'Borderless · Drivers'!D12*1 + 'Borderless · Drivers'!D14*'Borderless · Drivers'!D15</f>
        <v>289500</v>
      </c>
      <c r="F11" s="1320" t="n">
        <f aca="false">'Borderless · Drivers'!D7*'Borderless · Drivers'!D8*'Borderless · Drivers'!D9 + 'Borderless · Drivers'!D11*'Borderless · Drivers'!D12*1.1 + 'Borderless · Drivers'!D14*'Borderless · Drivers'!D15</f>
        <v>298500</v>
      </c>
      <c r="G11" s="1321" t="n">
        <f aca="false">'Borderless · Drivers'!D7*'Borderless · Drivers'!D8*'Borderless · Drivers'!D9 + 'Borderless · Drivers'!D11*'Borderless · Drivers'!D12*1.2 + 'Borderless · Drivers'!D14*'Borderless · Drivers'!D15</f>
        <v>307500</v>
      </c>
    </row>
    <row r="12" customFormat="false" ht="108.75" hidden="false" customHeight="true" outlineLevel="0" collapsed="false">
      <c r="B12" s="113" t="s">
        <v>8469</v>
      </c>
      <c r="C12" s="360" t="n">
        <f aca="false">'Borderless · Drivers'!D7*'Borderless · Drivers'!D8*'Borderless · Drivers'!D9 + 'Borderless · Drivers'!D11*'Borderless · Drivers'!D12 + 'Borderless · Drivers'!D14*UNIVERSAL_DRIVERS!$C$33*'Borderless · Drivers'!D15</f>
        <v>259500</v>
      </c>
      <c r="D12" s="1280" t="n">
        <f aca="false">'Borderless · Drivers'!D7*'Borderless · Drivers'!D8*'Borderless · Drivers'!D9 + 'Borderless · Drivers'!D11*'Borderless · Drivers'!D12 + 'Borderless · Drivers'!D14*UNIVERSAL_DRIVERS!$C$34*'Borderless · Drivers'!D15</f>
        <v>274500</v>
      </c>
      <c r="E12" s="1319" t="n">
        <f aca="false">'Borderless · Drivers'!D7*'Borderless · Drivers'!D8*'Borderless · Drivers'!D9 + 'Borderless · Drivers'!D11*'Borderless · Drivers'!D12 + 'Borderless · Drivers'!D14*1*'Borderless · Drivers'!D15</f>
        <v>289500</v>
      </c>
      <c r="F12" s="1320" t="n">
        <f aca="false">'Borderless · Drivers'!D7*'Borderless · Drivers'!D8*'Borderless · Drivers'!D9 + 'Borderless · Drivers'!D11*'Borderless · Drivers'!D12 + 'Borderless · Drivers'!D14*1.1*'Borderless · Drivers'!D15</f>
        <v>304500</v>
      </c>
      <c r="G12" s="1321" t="n">
        <f aca="false">'Borderless · Drivers'!D7*'Borderless · Drivers'!D8*'Borderless · Drivers'!D9 + 'Borderless · Drivers'!D11*'Borderless · Drivers'!D12 + 'Borderless · Drivers'!D14*1.2*'Borderless · Drivers'!D15</f>
        <v>319500</v>
      </c>
    </row>
    <row r="13" customFormat="false" ht="108.75" hidden="false" customHeight="true" outlineLevel="0" collapsed="false">
      <c r="B13" s="113" t="s">
        <v>8408</v>
      </c>
      <c r="C13" s="360" t="n">
        <f aca="false">'Borderless · Drivers'!D7*'Borderless · Drivers'!D8*'Borderless · Drivers'!D9 + 'Borderless · Drivers'!D11*'Borderless · Drivers'!D12 + 'Borderless · Drivers'!D14*'Borderless · Drivers'!D15*UNIVERSAL_DRIVERS!$C$33</f>
        <v>259500</v>
      </c>
      <c r="D13" s="1280" t="n">
        <f aca="false">'Borderless · Drivers'!D7*'Borderless · Drivers'!D8*'Borderless · Drivers'!D9 + 'Borderless · Drivers'!D11*'Borderless · Drivers'!D12 + 'Borderless · Drivers'!D14*'Borderless · Drivers'!D15*UNIVERSAL_DRIVERS!$C$34</f>
        <v>274500</v>
      </c>
      <c r="E13" s="1319" t="n">
        <f aca="false">'Borderless · Drivers'!D7*'Borderless · Drivers'!D8*'Borderless · Drivers'!D9 + 'Borderless · Drivers'!D11*'Borderless · Drivers'!D12 + 'Borderless · Drivers'!D14*'Borderless · Drivers'!D15*1</f>
        <v>289500</v>
      </c>
      <c r="F13" s="1320" t="n">
        <f aca="false">'Borderless · Drivers'!D7*'Borderless · Drivers'!D8*'Borderless · Drivers'!D9 + 'Borderless · Drivers'!D11*'Borderless · Drivers'!D12 + 'Borderless · Drivers'!D14*'Borderless · Drivers'!D15*1.1</f>
        <v>304500</v>
      </c>
      <c r="G13" s="1321" t="n">
        <f aca="false">'Borderless · Drivers'!D7*'Borderless · Drivers'!D8*'Borderless · Drivers'!D9 + 'Borderless · Drivers'!D11*'Borderless · Drivers'!D12 + 'Borderless · Drivers'!D14*'Borderless · Drivers'!D15*1.2</f>
        <v>319500</v>
      </c>
    </row>
    <row r="14" customFormat="false" ht="15" hidden="false" customHeight="true" outlineLevel="0" collapsed="false">
      <c r="B14" s="6"/>
      <c r="F14" s="6"/>
    </row>
    <row r="15" customFormat="false" ht="15" hidden="false" customHeight="true" outlineLevel="0" collapsed="false">
      <c r="B15" s="6"/>
      <c r="F15" s="6"/>
    </row>
    <row r="16" customFormat="false" ht="21.75" hidden="false" customHeight="true" outlineLevel="0" collapsed="false">
      <c r="B16" s="304" t="s">
        <v>2343</v>
      </c>
      <c r="C16" s="304"/>
      <c r="D16" s="304"/>
      <c r="E16" s="304"/>
      <c r="F16" s="304"/>
      <c r="G16" s="304"/>
      <c r="H16" s="304"/>
    </row>
    <row r="17" customFormat="false" ht="108.75" hidden="false" customHeight="true" outlineLevel="0" collapsed="false">
      <c r="B17" s="85" t="s">
        <v>8470</v>
      </c>
      <c r="C17" s="85"/>
      <c r="D17" s="85"/>
      <c r="E17" s="85"/>
      <c r="F17" s="85"/>
      <c r="G17" s="85"/>
    </row>
    <row r="18" customFormat="false" ht="15" hidden="false" customHeight="true" outlineLevel="0" collapsed="false">
      <c r="B18" s="85"/>
      <c r="C18" s="85"/>
      <c r="D18" s="85"/>
      <c r="E18" s="85"/>
      <c r="F18" s="85"/>
      <c r="G18" s="85"/>
    </row>
    <row r="19" customFormat="false" ht="15" hidden="false" customHeight="true" outlineLevel="0" collapsed="false">
      <c r="B19" s="85"/>
      <c r="C19" s="85"/>
      <c r="D19" s="85"/>
      <c r="E19" s="85"/>
      <c r="F19" s="85"/>
      <c r="G19" s="85"/>
    </row>
    <row r="20" customFormat="false" ht="15" hidden="false" customHeight="true" outlineLevel="0" collapsed="false">
      <c r="B20" s="85"/>
      <c r="C20" s="85"/>
      <c r="D20" s="85"/>
      <c r="E20" s="85"/>
      <c r="F20" s="85"/>
      <c r="G20" s="85"/>
    </row>
  </sheetData>
  <mergeCells count="6">
    <mergeCell ref="B2:F2"/>
    <mergeCell ref="G2:J2"/>
    <mergeCell ref="B3:J3"/>
    <mergeCell ref="B5:H5"/>
    <mergeCell ref="B16:H16"/>
    <mergeCell ref="B17:G2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6" min="5" style="0" width="10"/>
    <col collapsed="false" customWidth="true" hidden="false" outlineLevel="0" max="7" min="7" style="0" width="9"/>
    <col collapsed="false" customWidth="true" hidden="false" outlineLevel="0" max="11" min="8" style="0" width="12"/>
  </cols>
  <sheetData>
    <row r="1" customFormat="false" ht="3.75" hidden="false" customHeight="true" outlineLevel="0" collapsed="false">
      <c r="B1" s="1"/>
      <c r="C1" s="2"/>
      <c r="D1" s="2"/>
      <c r="E1" s="1"/>
      <c r="F1" s="2"/>
      <c r="G1" s="2"/>
    </row>
    <row r="2" customFormat="false" ht="27.75" hidden="false" customHeight="true" outlineLevel="0" collapsed="false">
      <c r="B2" s="88" t="s">
        <v>8471</v>
      </c>
      <c r="C2" s="88"/>
      <c r="D2" s="88"/>
      <c r="E2" s="88"/>
      <c r="F2" s="89" t="s">
        <v>995</v>
      </c>
      <c r="G2" s="89"/>
    </row>
    <row r="3" customFormat="false" ht="18" hidden="false" customHeight="true" outlineLevel="0" collapsed="false">
      <c r="B3" s="90" t="s">
        <v>7228</v>
      </c>
      <c r="C3" s="90"/>
      <c r="D3" s="90"/>
      <c r="E3" s="90"/>
      <c r="F3" s="90"/>
      <c r="G3" s="90"/>
    </row>
    <row r="4" customFormat="false" ht="15" hidden="false" customHeight="true" outlineLevel="0" collapsed="false">
      <c r="B4" s="6"/>
      <c r="E4" s="6"/>
    </row>
    <row r="5" customFormat="false" ht="21.75" hidden="false" customHeight="true" outlineLevel="0" collapsed="false">
      <c r="B5" s="96" t="s">
        <v>4374</v>
      </c>
      <c r="C5" s="96"/>
      <c r="D5" s="96"/>
      <c r="E5" s="96"/>
      <c r="F5" s="96"/>
    </row>
    <row r="6" customFormat="false" ht="21.75" hidden="false" customHeight="true" outlineLevel="0" collapsed="false">
      <c r="B6" s="97" t="s">
        <v>206</v>
      </c>
      <c r="C6" s="98" t="s">
        <v>4375</v>
      </c>
      <c r="D6" s="98" t="s">
        <v>4140</v>
      </c>
      <c r="E6" s="99" t="s">
        <v>4141</v>
      </c>
      <c r="F6" s="98" t="s">
        <v>395</v>
      </c>
    </row>
    <row r="7" customFormat="false" ht="15" hidden="false" customHeight="true" outlineLevel="0" collapsed="false">
      <c r="B7" s="113" t="s">
        <v>8472</v>
      </c>
      <c r="C7" s="544" t="n">
        <f aca="false">'Borderless · Revenue'!E10</f>
        <v>0</v>
      </c>
      <c r="D7" s="1421" t="s">
        <v>8473</v>
      </c>
      <c r="E7" s="1453"/>
      <c r="F7" s="634" t="s">
        <v>8474</v>
      </c>
    </row>
    <row r="8" customFormat="false" ht="15" hidden="false" customHeight="true" outlineLevel="0" collapsed="false">
      <c r="B8" s="113" t="s">
        <v>8475</v>
      </c>
      <c r="C8" s="544" t="n">
        <f aca="false">'Borderless · Revenue'!E14</f>
        <v>0</v>
      </c>
      <c r="D8" s="1421" t="s">
        <v>8476</v>
      </c>
      <c r="E8" s="1453"/>
      <c r="F8" s="634" t="s">
        <v>8477</v>
      </c>
    </row>
    <row r="9" customFormat="false" ht="15" hidden="false" customHeight="true" outlineLevel="0" collapsed="false">
      <c r="B9" s="113" t="s">
        <v>8478</v>
      </c>
      <c r="C9" s="544" t="n">
        <f aca="false">'Borderless · Revenue'!E18</f>
        <v>150000</v>
      </c>
      <c r="D9" s="1421" t="s">
        <v>8479</v>
      </c>
      <c r="E9" s="1453"/>
      <c r="F9" s="634" t="s">
        <v>8480</v>
      </c>
    </row>
    <row r="10" customFormat="false" ht="15" hidden="false" customHeight="true" outlineLevel="0" collapsed="false">
      <c r="B10" s="113" t="s">
        <v>8481</v>
      </c>
      <c r="C10" s="533" t="n">
        <f aca="false">'Borderless · Revenue'!E10/4500</f>
        <v>0</v>
      </c>
      <c r="D10" s="1421" t="s">
        <v>6777</v>
      </c>
      <c r="E10" s="1453"/>
      <c r="F10" s="634" t="s">
        <v>8323</v>
      </c>
    </row>
    <row r="11" customFormat="false" ht="15" hidden="false" customHeight="true" outlineLevel="0" collapsed="false">
      <c r="B11" s="113" t="s">
        <v>8482</v>
      </c>
      <c r="C11" s="533" t="n">
        <f aca="false">'Borderless · Revenue'!E14/4500</f>
        <v>0</v>
      </c>
      <c r="D11" s="1421" t="s">
        <v>8483</v>
      </c>
      <c r="E11" s="1453"/>
      <c r="F11" s="634" t="s">
        <v>8484</v>
      </c>
    </row>
    <row r="12" customFormat="false" ht="15" hidden="false" customHeight="true" outlineLevel="0" collapsed="false">
      <c r="B12" s="113" t="s">
        <v>8485</v>
      </c>
      <c r="C12" s="533" t="n">
        <f aca="false">'Borderless · Revenue'!E18/28000</f>
        <v>5.35714285714286</v>
      </c>
      <c r="D12" s="1421" t="s">
        <v>8486</v>
      </c>
      <c r="E12" s="1453"/>
      <c r="F12" s="634" t="s">
        <v>8487</v>
      </c>
    </row>
    <row r="13" customFormat="false" ht="15" hidden="false" customHeight="true" outlineLevel="0" collapsed="false">
      <c r="B13" s="6"/>
      <c r="E13" s="6"/>
    </row>
    <row r="14" customFormat="false" ht="15" hidden="false" customHeight="true" outlineLevel="0" collapsed="false">
      <c r="B14" s="6"/>
      <c r="E14" s="6"/>
    </row>
    <row r="15" customFormat="false" ht="21.75" hidden="false" customHeight="true" outlineLevel="0" collapsed="false">
      <c r="B15" s="72" t="s">
        <v>7239</v>
      </c>
      <c r="C15" s="72"/>
      <c r="D15" s="72"/>
      <c r="E15" s="72"/>
      <c r="F15" s="72"/>
    </row>
    <row r="16" customFormat="false" ht="120" hidden="false" customHeight="true" outlineLevel="0" collapsed="false">
      <c r="B16" s="1398" t="s">
        <v>8488</v>
      </c>
      <c r="C16" s="1398"/>
      <c r="D16" s="1398"/>
      <c r="E16" s="1398"/>
      <c r="F16" s="1398"/>
    </row>
    <row r="17" customFormat="false" ht="15" hidden="false" customHeight="true" outlineLevel="0" collapsed="false">
      <c r="B17" s="1398"/>
      <c r="C17" s="1398"/>
      <c r="D17" s="1398"/>
      <c r="E17" s="1398"/>
      <c r="F17" s="1398"/>
    </row>
    <row r="18" customFormat="false" ht="15" hidden="false" customHeight="true" outlineLevel="0" collapsed="false">
      <c r="B18" s="1398"/>
      <c r="C18" s="1398"/>
      <c r="D18" s="1398"/>
      <c r="E18" s="1398"/>
      <c r="F18" s="1398"/>
    </row>
    <row r="19" customFormat="false" ht="15" hidden="false" customHeight="true" outlineLevel="0" collapsed="false">
      <c r="B19" s="1398"/>
      <c r="C19" s="1398"/>
      <c r="D19" s="1398"/>
      <c r="E19" s="1398"/>
      <c r="F19" s="1398"/>
    </row>
    <row r="20" customFormat="false" ht="15" hidden="false" customHeight="true" outlineLevel="0" collapsed="false">
      <c r="B20" s="1398"/>
      <c r="C20" s="1398"/>
      <c r="D20" s="1398"/>
      <c r="E20" s="1398"/>
      <c r="F20" s="1398"/>
    </row>
    <row r="21" customFormat="false" ht="15" hidden="false" customHeight="true" outlineLevel="0" collapsed="false">
      <c r="B21" s="1398"/>
      <c r="C21" s="1398"/>
      <c r="D21" s="1398"/>
      <c r="E21" s="1398"/>
      <c r="F21" s="1398"/>
    </row>
    <row r="22" customFormat="false" ht="15" hidden="false" customHeight="true" outlineLevel="0" collapsed="false">
      <c r="B22" s="1398"/>
      <c r="C22" s="1398"/>
      <c r="D22" s="1398"/>
      <c r="E22" s="1398"/>
      <c r="F22" s="1398"/>
    </row>
  </sheetData>
  <mergeCells count="6">
    <mergeCell ref="B2:E2"/>
    <mergeCell ref="F2:G2"/>
    <mergeCell ref="B3:G3"/>
    <mergeCell ref="B5:F5"/>
    <mergeCell ref="B15:F15"/>
    <mergeCell ref="B16:F22"/>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7A6F"/>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1" min="5" style="0" width="9"/>
  </cols>
  <sheetData>
    <row r="1" customFormat="false" ht="3.75" hidden="false" customHeight="true" outlineLevel="0" collapsed="false">
      <c r="B1" s="1"/>
      <c r="C1" s="1"/>
      <c r="D1" s="2"/>
      <c r="E1" s="2"/>
      <c r="F1" s="2"/>
      <c r="G1" s="2"/>
      <c r="H1" s="2"/>
      <c r="I1" s="2"/>
      <c r="J1" s="2"/>
      <c r="K1" s="2"/>
    </row>
    <row r="2" customFormat="false" ht="27.75" hidden="false" customHeight="true" outlineLevel="0" collapsed="false">
      <c r="B2" s="88" t="s">
        <v>8489</v>
      </c>
      <c r="C2" s="88"/>
      <c r="D2" s="88"/>
      <c r="E2" s="88"/>
      <c r="F2" s="88"/>
      <c r="G2" s="88"/>
      <c r="H2" s="89" t="s">
        <v>995</v>
      </c>
      <c r="I2" s="89"/>
      <c r="J2" s="89"/>
      <c r="K2" s="89"/>
    </row>
    <row r="3" customFormat="false" ht="18" hidden="false" customHeight="true" outlineLevel="0" collapsed="false">
      <c r="B3" s="90" t="s">
        <v>6243</v>
      </c>
      <c r="C3" s="90"/>
      <c r="D3" s="90"/>
      <c r="E3" s="90"/>
      <c r="F3" s="90"/>
      <c r="G3" s="90"/>
      <c r="H3" s="90"/>
      <c r="I3" s="90"/>
      <c r="J3" s="90"/>
      <c r="K3" s="90"/>
    </row>
    <row r="4" customFormat="false" ht="15" hidden="false" customHeight="true" outlineLevel="0" collapsed="false">
      <c r="B4" s="6"/>
      <c r="C4" s="6"/>
    </row>
    <row r="5" customFormat="false" ht="33.75" hidden="false" customHeight="true" outlineLevel="0" collapsed="false">
      <c r="B5" s="96" t="s">
        <v>6244</v>
      </c>
      <c r="C5" s="96"/>
      <c r="D5" s="96"/>
      <c r="E5" s="96"/>
      <c r="F5" s="96"/>
      <c r="G5" s="96"/>
      <c r="H5" s="96"/>
      <c r="I5" s="96"/>
      <c r="J5" s="96"/>
      <c r="K5" s="96"/>
    </row>
    <row r="6" customFormat="false" ht="21.75" hidden="false" customHeight="true" outlineLevel="0" collapsed="false">
      <c r="B6" s="97" t="s">
        <v>4477</v>
      </c>
      <c r="C6" s="99" t="s">
        <v>4478</v>
      </c>
      <c r="D6" s="98" t="s">
        <v>86</v>
      </c>
    </row>
    <row r="7" customFormat="false" ht="15" hidden="false" customHeight="true" outlineLevel="0" collapsed="false">
      <c r="B7" s="113" t="s">
        <v>8490</v>
      </c>
      <c r="C7" s="1404" t="n">
        <f aca="false">'Borderless · Revenue'!E21</f>
        <v>289500</v>
      </c>
      <c r="D7" s="634" t="s">
        <v>6246</v>
      </c>
    </row>
    <row r="8" customFormat="false" ht="15" hidden="false" customHeight="true" outlineLevel="0" collapsed="false">
      <c r="B8" s="113" t="s">
        <v>8491</v>
      </c>
      <c r="C8" s="1404" t="n">
        <f aca="false">'Borderless · Costs'!C30</f>
        <v>197000</v>
      </c>
      <c r="D8" s="634" t="s">
        <v>6248</v>
      </c>
    </row>
    <row r="9" customFormat="false" ht="15" hidden="false" customHeight="true" outlineLevel="0" collapsed="false">
      <c r="B9" s="113" t="s">
        <v>8492</v>
      </c>
      <c r="C9" s="1404" t="n">
        <f aca="false">'Borderless · 8-Year'!C11</f>
        <v>231600</v>
      </c>
      <c r="D9" s="634" t="s">
        <v>3457</v>
      </c>
    </row>
    <row r="10" customFormat="false" ht="15" hidden="false" customHeight="true" outlineLevel="0" collapsed="false">
      <c r="B10" s="113" t="s">
        <v>8493</v>
      </c>
      <c r="C10" s="1404" t="n">
        <f aca="false">'Borderless · 8-Year'!D11</f>
        <v>268366.5</v>
      </c>
      <c r="D10" s="634" t="s">
        <v>6251</v>
      </c>
    </row>
    <row r="11" customFormat="false" ht="15" hidden="false" customHeight="true" outlineLevel="0" collapsed="false">
      <c r="B11" s="113" t="s">
        <v>8494</v>
      </c>
      <c r="C11" s="1404" t="n">
        <f aca="false">'Borderless · 8-Year'!E11</f>
        <v>307130.55</v>
      </c>
      <c r="D11" s="634" t="s">
        <v>6253</v>
      </c>
    </row>
    <row r="12" customFormat="false" ht="15" hidden="false" customHeight="true" outlineLevel="0" collapsed="false">
      <c r="B12" s="113" t="s">
        <v>8495</v>
      </c>
      <c r="C12" s="1404" t="n">
        <f aca="false">'Borderless · 8-Year'!F11</f>
        <v>316344.4665</v>
      </c>
      <c r="D12" s="634" t="s">
        <v>137</v>
      </c>
    </row>
    <row r="13" customFormat="false" ht="15" hidden="false" customHeight="true" outlineLevel="0" collapsed="false">
      <c r="B13" s="113" t="s">
        <v>8496</v>
      </c>
      <c r="C13" s="1404" t="n">
        <f aca="false">'Borderless · 8-Year'!G11</f>
        <v>325834.800495</v>
      </c>
      <c r="D13" s="634" t="s">
        <v>6256</v>
      </c>
    </row>
    <row r="14" customFormat="false" ht="15" hidden="false" customHeight="true" outlineLevel="0" collapsed="false">
      <c r="B14" s="6"/>
      <c r="C14" s="6"/>
    </row>
    <row r="15" customFormat="false" ht="15" hidden="false" customHeight="true" outlineLevel="0" collapsed="false">
      <c r="B15" s="6"/>
      <c r="C15" s="6"/>
    </row>
    <row r="16" customFormat="false" ht="21.75" hidden="false" customHeight="true" outlineLevel="0" collapsed="false">
      <c r="B16" s="72" t="s">
        <v>4495</v>
      </c>
      <c r="C16" s="72"/>
      <c r="D16" s="72"/>
      <c r="E16" s="72"/>
      <c r="F16" s="72"/>
      <c r="G16" s="72"/>
      <c r="H16" s="72"/>
      <c r="I16" s="72"/>
      <c r="J16" s="72"/>
      <c r="K16" s="72"/>
    </row>
    <row r="17" customFormat="false" ht="108.75" hidden="false" customHeight="true" outlineLevel="0" collapsed="false">
      <c r="B17" s="1398" t="s">
        <v>8497</v>
      </c>
      <c r="C17" s="1398"/>
      <c r="D17" s="1398"/>
    </row>
    <row r="18" customFormat="false" ht="15" hidden="false" customHeight="true" outlineLevel="0" collapsed="false">
      <c r="B18" s="1398"/>
      <c r="C18" s="1398"/>
      <c r="D18" s="1398"/>
    </row>
    <row r="19" customFormat="false" ht="15" hidden="false" customHeight="true" outlineLevel="0" collapsed="false">
      <c r="B19" s="1398"/>
      <c r="C19" s="1398"/>
      <c r="D19" s="1398"/>
    </row>
    <row r="20" customFormat="false" ht="15" hidden="false" customHeight="true" outlineLevel="0" collapsed="false">
      <c r="B20" s="1398"/>
      <c r="C20" s="1398"/>
      <c r="D20" s="1398"/>
    </row>
    <row r="21" customFormat="false" ht="15" hidden="false" customHeight="true" outlineLevel="0" collapsed="false">
      <c r="B21" s="1398"/>
      <c r="C21" s="1398"/>
      <c r="D21" s="1398"/>
    </row>
    <row r="22" customFormat="false" ht="15" hidden="false" customHeight="true" outlineLevel="0" collapsed="false">
      <c r="B22" s="6"/>
      <c r="C22" s="6"/>
    </row>
    <row r="23" customFormat="false" ht="21.75" hidden="false" customHeight="true" outlineLevel="0" collapsed="false">
      <c r="B23" s="304" t="s">
        <v>6258</v>
      </c>
      <c r="C23" s="304"/>
      <c r="D23" s="304"/>
      <c r="E23" s="304"/>
      <c r="F23" s="304"/>
      <c r="G23" s="304"/>
      <c r="H23" s="304"/>
      <c r="I23" s="304"/>
      <c r="J23" s="304"/>
      <c r="K23" s="304"/>
    </row>
    <row r="24" customFormat="false" ht="108.75" hidden="false" customHeight="true" outlineLevel="0" collapsed="false">
      <c r="B24" s="85" t="s">
        <v>6259</v>
      </c>
      <c r="C24" s="85"/>
      <c r="D24" s="85"/>
    </row>
    <row r="25" customFormat="false" ht="15" hidden="false" customHeight="true" outlineLevel="0" collapsed="false">
      <c r="B25" s="85"/>
      <c r="C25" s="85"/>
      <c r="D25" s="85"/>
    </row>
    <row r="26" customFormat="false" ht="15" hidden="false" customHeight="true" outlineLevel="0" collapsed="false">
      <c r="B26" s="85"/>
      <c r="C26" s="85"/>
      <c r="D26" s="85"/>
    </row>
  </sheetData>
  <mergeCells count="8">
    <mergeCell ref="B2:G2"/>
    <mergeCell ref="H2:K2"/>
    <mergeCell ref="B3:K3"/>
    <mergeCell ref="B5:K5"/>
    <mergeCell ref="B16:K16"/>
    <mergeCell ref="B17:D21"/>
    <mergeCell ref="B23:K23"/>
    <mergeCell ref="B24:D2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M8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C10" activeCellId="0" sqref="C10"/>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65"/>
    <col collapsed="false" customWidth="true" hidden="false" outlineLevel="0" max="4" min="4" style="0" width="11"/>
    <col collapsed="false" customWidth="true" hidden="false" outlineLevel="0" max="7" min="5" style="0" width="9"/>
    <col collapsed="false" customWidth="true" hidden="false" outlineLevel="0" max="13" min="8" style="0" width="11"/>
  </cols>
  <sheetData>
    <row r="1" customFormat="false" ht="3.75" hidden="false" customHeight="true" outlineLevel="0" collapsed="false">
      <c r="B1" s="1"/>
      <c r="C1" s="1"/>
      <c r="D1" s="2"/>
      <c r="E1" s="2"/>
      <c r="F1" s="2"/>
      <c r="G1" s="2"/>
      <c r="H1" s="2"/>
      <c r="I1" s="2"/>
      <c r="J1" s="2"/>
      <c r="K1" s="2"/>
      <c r="L1" s="2"/>
      <c r="M1" s="2"/>
    </row>
    <row r="2" customFormat="false" ht="36" hidden="false" customHeight="true" outlineLevel="0" collapsed="false">
      <c r="B2" s="40" t="s">
        <v>56</v>
      </c>
      <c r="C2" s="40"/>
      <c r="D2" s="40"/>
      <c r="E2" s="40"/>
      <c r="F2" s="40"/>
      <c r="G2" s="40"/>
      <c r="H2" s="40"/>
      <c r="I2" s="40"/>
      <c r="J2" s="41" t="s">
        <v>57</v>
      </c>
      <c r="K2" s="41"/>
      <c r="L2" s="41"/>
      <c r="M2" s="41"/>
    </row>
    <row r="3" customFormat="false" ht="36" hidden="false" customHeight="true" outlineLevel="0" collapsed="false">
      <c r="B3" s="42" t="s">
        <v>58</v>
      </c>
      <c r="C3" s="6"/>
    </row>
    <row r="4" customFormat="false" ht="15" hidden="false" customHeight="true" outlineLevel="0" collapsed="false">
      <c r="B4" s="6"/>
      <c r="C4" s="6"/>
    </row>
    <row r="5" customFormat="false" ht="21.75" hidden="false" customHeight="true" outlineLevel="0" collapsed="false">
      <c r="B5" s="43" t="s">
        <v>59</v>
      </c>
      <c r="C5" s="43"/>
      <c r="D5" s="43"/>
      <c r="E5" s="43"/>
      <c r="F5" s="43"/>
      <c r="G5" s="43"/>
      <c r="H5" s="43"/>
      <c r="I5" s="43"/>
      <c r="J5" s="43"/>
      <c r="K5" s="43"/>
      <c r="L5" s="43"/>
      <c r="M5" s="43"/>
    </row>
    <row r="6" customFormat="false" ht="33.75" hidden="false" customHeight="true" outlineLevel="0" collapsed="false">
      <c r="B6" s="44" t="s">
        <v>60</v>
      </c>
      <c r="C6" s="45" t="s">
        <v>61</v>
      </c>
      <c r="D6" s="45"/>
      <c r="E6" s="45"/>
      <c r="F6" s="45"/>
      <c r="G6" s="45"/>
      <c r="H6" s="45"/>
      <c r="I6" s="45"/>
      <c r="J6" s="45"/>
      <c r="K6" s="45"/>
      <c r="L6" s="45"/>
      <c r="M6" s="45"/>
    </row>
    <row r="7" customFormat="false" ht="18" hidden="false" customHeight="true" outlineLevel="0" collapsed="false">
      <c r="B7" s="44" t="s">
        <v>62</v>
      </c>
      <c r="C7" s="45" t="s">
        <v>63</v>
      </c>
      <c r="D7" s="45"/>
      <c r="E7" s="45"/>
      <c r="F7" s="45"/>
      <c r="G7" s="45"/>
      <c r="H7" s="45"/>
      <c r="I7" s="45"/>
      <c r="J7" s="45"/>
      <c r="K7" s="45"/>
      <c r="L7" s="45"/>
      <c r="M7" s="45"/>
    </row>
    <row r="8" customFormat="false" ht="66" hidden="false" customHeight="true" outlineLevel="0" collapsed="false">
      <c r="B8" s="44" t="s">
        <v>64</v>
      </c>
      <c r="C8" s="46" t="str">
        <f aca="false">"6,300 sqm · Casablanca · Operational CapEx (Cash) $"&amp;TEXT(CapEx!E55/1000000,"0.00")&amp;"M · Total Project Value $"&amp;TEXT(CapEx!E54/1000000,"0.00")&amp;"M (includes $"&amp;TEXT(CapEx!E56/1000000,"0.00")&amp;"M contributed land/construction)"</f>
        <v>6,300 sqm · Casablanca · Operational CapEx (Cash) $19.09M · Total Project Value $28.28M (includes $9.19M contributed land/construction)</v>
      </c>
      <c r="D8" s="47"/>
      <c r="E8" s="47"/>
      <c r="F8" s="47"/>
      <c r="G8" s="47"/>
      <c r="H8" s="47"/>
      <c r="I8" s="47"/>
      <c r="J8" s="47"/>
      <c r="K8" s="47"/>
      <c r="L8" s="47"/>
      <c r="M8" s="47"/>
    </row>
    <row r="9" customFormat="false" ht="111" hidden="false" customHeight="true" outlineLevel="0" collapsed="false">
      <c r="B9" s="44" t="s">
        <v>65</v>
      </c>
      <c r="C9" s="46" t="str">
        <f aca="false">"Round 1 (May 2026): $"&amp;TEXT(MASTER_ASSUMPTIONS!C13/1000000,"0.00")&amp;"M Investor Cash at Risk ("&amp;TEXT(CAPITAL_EFFICIENCY!C32,"0.0%")&amp;" of Total Project) for "&amp;TEXT(MASTER_ASSUMPTIONS!C15,"0.0%")&amp;" at $"&amp;TEXT(MASTER_ASSUMPTIONS!C14/1000000,"0.00")&amp;"M post-money. Non-dilutive funding $"&amp;TEXT(ABS(CAPITAL_EFFICIENCY!C22)/1000000,"0.00")&amp;"M. Round 2 (2027): Pure secondary at $"&amp;TEXT(MASTER_ASSUMPTIONS!C19/1000000,"0")&amp;"M. Exit (2029): $"&amp;TEXT(MASTER_ASSUMPTIONS!C26/1000000,"0")&amp;"M BVC IPO + Strategic Anchor."</f>
        <v>Round 1 (May 2026): $7.82M Investor Cash at Risk (27.7% of Total Project) for 45.0% at $17.38M post-money. Non-dilutive funding $11.27M. Round 2 (2027): Pure secondary at $20M. Exit (2029): $35M BVC IPO + Strategic Anchor.</v>
      </c>
      <c r="D9" s="47"/>
      <c r="E9" s="47"/>
      <c r="F9" s="47"/>
      <c r="G9" s="47"/>
      <c r="H9" s="47"/>
      <c r="I9" s="47"/>
      <c r="J9" s="47"/>
      <c r="K9" s="47"/>
      <c r="L9" s="47"/>
      <c r="M9" s="47"/>
    </row>
    <row r="10" customFormat="false" ht="66" hidden="false" customHeight="true" outlineLevel="0" collapsed="false">
      <c r="B10" s="48" t="str">
        <f aca="false">"⊙ Y4 Headline: $"&amp;TEXT('Master Revenue'!I17/1000000,"0.00")&amp;"M Revenue · $"&amp;TEXT('Master OpEx'!D30/1000000,"0.00")&amp;"M Platform EBITDA · "&amp;TEXT('Master OpEx'!D31,"0.0%")&amp;" margin · Round 1: $7.22M raise for 49%"</f>
        <v>⊙ Y4 Headline: $6.67M Revenue · $2.26M Platform EBITDA · 33.9% margin · Round 1: $7.22M raise for 49%</v>
      </c>
      <c r="C10" s="46" t="str">
        <f aca="false">"$"&amp;TEXT('Master Revenue'!I17/1000000,"0.00")&amp;"M Revenue · $"&amp;TEXT('Master OpEx'!D30/1000000,"0.00")&amp;"M Platform EBITDA · "&amp;TEXT('Master OpEx'!D31,"0.0%")&amp;" margin (Active scenario)"</f>
        <v>$6.67M Revenue · $2.26M Platform EBITDA · 33.9% margin (Active scenario)</v>
      </c>
      <c r="D10" s="47"/>
      <c r="E10" s="47"/>
      <c r="F10" s="47"/>
      <c r="G10" s="47"/>
      <c r="H10" s="47"/>
      <c r="I10" s="47"/>
      <c r="J10" s="47"/>
      <c r="K10" s="47"/>
      <c r="L10" s="47"/>
      <c r="M10" s="47"/>
    </row>
    <row r="11" customFormat="false" ht="36" hidden="false" customHeight="true" outlineLevel="0" collapsed="false">
      <c r="B11" s="44" t="s">
        <v>66</v>
      </c>
      <c r="C11" s="49" t="s">
        <v>67</v>
      </c>
      <c r="D11" s="47"/>
      <c r="E11" s="47"/>
      <c r="F11" s="47"/>
      <c r="G11" s="47"/>
      <c r="H11" s="47"/>
      <c r="I11" s="47"/>
      <c r="J11" s="47"/>
      <c r="K11" s="47"/>
      <c r="L11" s="47"/>
      <c r="M11" s="47"/>
    </row>
    <row r="12" customFormat="false" ht="36" hidden="false" customHeight="true" outlineLevel="0" collapsed="false">
      <c r="B12" s="44" t="s">
        <v>68</v>
      </c>
      <c r="C12" s="49" t="s">
        <v>69</v>
      </c>
      <c r="D12" s="47"/>
      <c r="E12" s="47"/>
      <c r="F12" s="47"/>
      <c r="G12" s="47"/>
      <c r="H12" s="47"/>
      <c r="I12" s="47"/>
      <c r="J12" s="47"/>
      <c r="K12" s="47"/>
      <c r="L12" s="47"/>
      <c r="M12" s="47"/>
    </row>
    <row r="13" customFormat="false" ht="18" hidden="false" customHeight="true" outlineLevel="0" collapsed="false">
      <c r="B13" s="44" t="s">
        <v>70</v>
      </c>
      <c r="C13" s="45" t="s">
        <v>71</v>
      </c>
      <c r="D13" s="45"/>
      <c r="E13" s="45"/>
      <c r="F13" s="45"/>
      <c r="G13" s="45"/>
      <c r="H13" s="45"/>
      <c r="I13" s="45"/>
      <c r="J13" s="45"/>
      <c r="K13" s="45"/>
      <c r="L13" s="45"/>
      <c r="M13" s="45"/>
    </row>
    <row r="14" customFormat="false" ht="111" hidden="false" customHeight="true" outlineLevel="0" collapsed="false">
      <c r="B14" s="44" t="s">
        <v>72</v>
      </c>
      <c r="C14" s="45" t="s">
        <v>73</v>
      </c>
      <c r="D14" s="45"/>
      <c r="E14" s="45"/>
      <c r="F14" s="45"/>
      <c r="G14" s="45"/>
      <c r="H14" s="45"/>
      <c r="I14" s="45"/>
      <c r="J14" s="45"/>
      <c r="K14" s="45"/>
      <c r="L14" s="45"/>
      <c r="M14" s="47"/>
    </row>
    <row r="15" customFormat="false" ht="18" hidden="false" customHeight="true" outlineLevel="0" collapsed="false">
      <c r="B15" s="44" t="s">
        <v>74</v>
      </c>
      <c r="C15" s="45" t="s">
        <v>75</v>
      </c>
      <c r="D15" s="45"/>
      <c r="E15" s="45"/>
      <c r="F15" s="45"/>
      <c r="G15" s="45"/>
      <c r="H15" s="45"/>
      <c r="I15" s="45"/>
      <c r="J15" s="45"/>
      <c r="K15" s="45"/>
      <c r="L15" s="45"/>
      <c r="M15" s="45"/>
    </row>
    <row r="16" customFormat="false" ht="15" hidden="false" customHeight="true" outlineLevel="0" collapsed="false">
      <c r="B16" s="6"/>
      <c r="C16" s="6"/>
    </row>
    <row r="17" customFormat="false" ht="21.75" hidden="false" customHeight="true" outlineLevel="0" collapsed="false">
      <c r="B17" s="43" t="s">
        <v>76</v>
      </c>
      <c r="C17" s="43"/>
      <c r="D17" s="43"/>
      <c r="E17" s="43"/>
      <c r="F17" s="43"/>
      <c r="G17" s="43"/>
      <c r="H17" s="43"/>
      <c r="I17" s="43"/>
      <c r="J17" s="43"/>
      <c r="K17" s="43"/>
      <c r="L17" s="43"/>
      <c r="M17" s="43"/>
    </row>
    <row r="18" customFormat="false" ht="36" hidden="false" customHeight="true" outlineLevel="0" collapsed="false">
      <c r="B18" s="50" t="s">
        <v>77</v>
      </c>
      <c r="C18" s="50"/>
      <c r="D18" s="50"/>
      <c r="E18" s="50"/>
      <c r="F18" s="50"/>
      <c r="G18" s="50"/>
      <c r="H18" s="50"/>
      <c r="I18" s="50"/>
      <c r="J18" s="50"/>
      <c r="K18" s="50"/>
      <c r="L18" s="50"/>
      <c r="M18" s="50"/>
    </row>
    <row r="19" customFormat="false" ht="36" hidden="false" customHeight="true" outlineLevel="0" collapsed="false">
      <c r="B19" s="50" t="s">
        <v>78</v>
      </c>
      <c r="C19" s="50"/>
      <c r="D19" s="50"/>
      <c r="E19" s="50"/>
      <c r="F19" s="50"/>
      <c r="G19" s="50"/>
      <c r="H19" s="50"/>
      <c r="I19" s="50"/>
      <c r="J19" s="50"/>
      <c r="K19" s="50"/>
      <c r="L19" s="50"/>
      <c r="M19" s="50"/>
    </row>
    <row r="20" customFormat="false" ht="36" hidden="false" customHeight="true" outlineLevel="0" collapsed="false">
      <c r="B20" s="50" t="s">
        <v>79</v>
      </c>
      <c r="C20" s="50"/>
      <c r="D20" s="50"/>
      <c r="E20" s="50"/>
      <c r="F20" s="50"/>
      <c r="G20" s="50"/>
      <c r="H20" s="50"/>
      <c r="I20" s="50"/>
      <c r="J20" s="50"/>
      <c r="K20" s="50"/>
      <c r="L20" s="50"/>
      <c r="M20" s="50"/>
    </row>
    <row r="21" customFormat="false" ht="36" hidden="false" customHeight="true" outlineLevel="0" collapsed="false">
      <c r="B21" s="50" t="s">
        <v>80</v>
      </c>
      <c r="C21" s="50"/>
      <c r="D21" s="50"/>
      <c r="E21" s="50"/>
      <c r="F21" s="50"/>
      <c r="G21" s="50"/>
      <c r="H21" s="50"/>
      <c r="I21" s="50"/>
      <c r="J21" s="50"/>
      <c r="K21" s="50"/>
      <c r="L21" s="50"/>
      <c r="M21" s="50"/>
    </row>
    <row r="22" customFormat="false" ht="36" hidden="false" customHeight="true" outlineLevel="0" collapsed="false">
      <c r="B22" s="50" t="s">
        <v>81</v>
      </c>
      <c r="C22" s="50"/>
      <c r="D22" s="50"/>
      <c r="E22" s="50"/>
      <c r="F22" s="50"/>
      <c r="G22" s="50"/>
      <c r="H22" s="50"/>
      <c r="I22" s="50"/>
      <c r="J22" s="50"/>
      <c r="K22" s="50"/>
      <c r="L22" s="50"/>
      <c r="M22" s="50"/>
    </row>
    <row r="23" customFormat="false" ht="36" hidden="false" customHeight="true" outlineLevel="0" collapsed="false">
      <c r="B23" s="50" t="s">
        <v>82</v>
      </c>
      <c r="C23" s="50"/>
      <c r="D23" s="50"/>
      <c r="E23" s="50"/>
      <c r="F23" s="50"/>
      <c r="G23" s="50"/>
      <c r="H23" s="50"/>
      <c r="I23" s="50"/>
      <c r="J23" s="50"/>
      <c r="K23" s="50"/>
      <c r="L23" s="50"/>
      <c r="M23" s="50"/>
    </row>
    <row r="24" customFormat="false" ht="15" hidden="false" customHeight="true" outlineLevel="0" collapsed="false">
      <c r="B24" s="6"/>
      <c r="C24" s="6"/>
    </row>
    <row r="25" customFormat="false" ht="15" hidden="false" customHeight="true" outlineLevel="0" collapsed="false">
      <c r="B25" s="6"/>
      <c r="C25" s="6"/>
    </row>
    <row r="26" customFormat="false" ht="36" hidden="false" customHeight="true" outlineLevel="0" collapsed="false">
      <c r="B26" s="51" t="s">
        <v>83</v>
      </c>
      <c r="C26" s="51"/>
      <c r="D26" s="51"/>
      <c r="E26" s="51"/>
      <c r="F26" s="51"/>
      <c r="G26" s="51"/>
      <c r="H26" s="51"/>
      <c r="I26" s="51"/>
      <c r="J26" s="51"/>
      <c r="K26" s="51"/>
      <c r="L26" s="51"/>
      <c r="M26" s="51"/>
    </row>
    <row r="27" customFormat="false" ht="19.5" hidden="false" customHeight="true" outlineLevel="0" collapsed="false">
      <c r="B27" s="52" t="s">
        <v>84</v>
      </c>
      <c r="C27" s="53" t="s">
        <v>85</v>
      </c>
      <c r="D27" s="53"/>
      <c r="E27" s="53"/>
      <c r="F27" s="54" t="s">
        <v>86</v>
      </c>
      <c r="G27" s="54"/>
      <c r="H27" s="54"/>
      <c r="I27" s="54"/>
      <c r="J27" s="54"/>
      <c r="K27" s="54"/>
      <c r="L27" s="54"/>
      <c r="M27" s="54"/>
    </row>
    <row r="28" customFormat="false" ht="18" hidden="false" customHeight="true" outlineLevel="0" collapsed="false">
      <c r="B28" s="55" t="n">
        <v>1</v>
      </c>
      <c r="C28" s="56" t="s">
        <v>87</v>
      </c>
      <c r="D28" s="56"/>
      <c r="E28" s="56"/>
      <c r="F28" s="57" t="s">
        <v>88</v>
      </c>
      <c r="G28" s="57"/>
      <c r="H28" s="57"/>
      <c r="I28" s="57"/>
      <c r="J28" s="57"/>
      <c r="K28" s="57"/>
      <c r="L28" s="57"/>
      <c r="M28" s="57"/>
    </row>
    <row r="29" customFormat="false" ht="18" hidden="false" customHeight="true" outlineLevel="0" collapsed="false">
      <c r="B29" s="55" t="n">
        <v>2</v>
      </c>
      <c r="C29" s="56" t="s">
        <v>89</v>
      </c>
      <c r="D29" s="56"/>
      <c r="E29" s="56"/>
      <c r="F29" s="57" t="s">
        <v>90</v>
      </c>
      <c r="G29" s="57"/>
      <c r="H29" s="57"/>
      <c r="I29" s="57"/>
      <c r="J29" s="57"/>
      <c r="K29" s="57"/>
      <c r="L29" s="57"/>
      <c r="M29" s="57"/>
    </row>
    <row r="30" customFormat="false" ht="18" hidden="false" customHeight="true" outlineLevel="0" collapsed="false">
      <c r="B30" s="55" t="n">
        <v>3</v>
      </c>
      <c r="C30" s="56" t="s">
        <v>91</v>
      </c>
      <c r="D30" s="56"/>
      <c r="E30" s="56"/>
      <c r="F30" s="58" t="str">
        <f aca="false">"Direct costs by pillar + Group Overhead $"&amp;TEXT('Master Cost'!C55/1000,"#,##0")&amp;"K → Platform EBITDA"</f>
        <v>Direct costs by pillar + Group Overhead $1,762K → Platform EBITDA</v>
      </c>
    </row>
    <row r="31" customFormat="false" ht="18" hidden="false" customHeight="true" outlineLevel="0" collapsed="false">
      <c r="B31" s="55" t="n">
        <v>4</v>
      </c>
      <c r="C31" s="56" t="s">
        <v>92</v>
      </c>
      <c r="D31" s="56"/>
      <c r="E31" s="56"/>
      <c r="F31" s="57" t="s">
        <v>93</v>
      </c>
      <c r="G31" s="57"/>
      <c r="H31" s="57"/>
      <c r="I31" s="57"/>
      <c r="J31" s="57"/>
      <c r="K31" s="57"/>
      <c r="L31" s="57"/>
      <c r="M31" s="57"/>
    </row>
    <row r="32" customFormat="false" ht="18" hidden="false" customHeight="true" outlineLevel="0" collapsed="false">
      <c r="B32" s="55" t="n">
        <v>5</v>
      </c>
      <c r="C32" s="56" t="s">
        <v>94</v>
      </c>
      <c r="D32" s="56"/>
      <c r="E32" s="56"/>
      <c r="F32" s="57" t="s">
        <v>95</v>
      </c>
      <c r="G32" s="57"/>
      <c r="H32" s="57"/>
      <c r="I32" s="57"/>
      <c r="J32" s="57"/>
      <c r="K32" s="57"/>
      <c r="L32" s="57"/>
      <c r="M32" s="57"/>
    </row>
    <row r="33" customFormat="false" ht="18" hidden="false" customHeight="true" outlineLevel="0" collapsed="false">
      <c r="B33" s="55" t="n">
        <v>6</v>
      </c>
      <c r="C33" s="56" t="s">
        <v>96</v>
      </c>
      <c r="D33" s="56"/>
      <c r="E33" s="56"/>
      <c r="F33" s="57" t="s">
        <v>97</v>
      </c>
      <c r="G33" s="57"/>
      <c r="H33" s="57"/>
      <c r="I33" s="57"/>
      <c r="J33" s="57"/>
      <c r="K33" s="57"/>
      <c r="L33" s="57"/>
      <c r="M33" s="57"/>
    </row>
    <row r="34" customFormat="false" ht="18" hidden="false" customHeight="true" outlineLevel="0" collapsed="false">
      <c r="B34" s="55" t="n">
        <v>7</v>
      </c>
      <c r="C34" s="56" t="s">
        <v>98</v>
      </c>
      <c r="D34" s="56"/>
      <c r="E34" s="56"/>
      <c r="F34" s="57" t="s">
        <v>99</v>
      </c>
      <c r="G34" s="57"/>
      <c r="H34" s="57"/>
      <c r="I34" s="57"/>
      <c r="J34" s="57"/>
      <c r="K34" s="57"/>
      <c r="L34" s="57"/>
      <c r="M34" s="57"/>
    </row>
    <row r="35" customFormat="false" ht="18" hidden="false" customHeight="true" outlineLevel="0" collapsed="false">
      <c r="B35" s="55" t="n">
        <v>8</v>
      </c>
      <c r="C35" s="56" t="s">
        <v>100</v>
      </c>
      <c r="D35" s="56"/>
      <c r="E35" s="56"/>
      <c r="F35" s="57" t="s">
        <v>101</v>
      </c>
      <c r="G35" s="57"/>
      <c r="H35" s="57"/>
      <c r="I35" s="57"/>
      <c r="J35" s="57"/>
      <c r="K35" s="57"/>
      <c r="L35" s="57"/>
      <c r="M35" s="57"/>
    </row>
    <row r="36" customFormat="false" ht="18" hidden="false" customHeight="true" outlineLevel="0" collapsed="false">
      <c r="B36" s="55" t="n">
        <v>9</v>
      </c>
      <c r="C36" s="56" t="s">
        <v>102</v>
      </c>
      <c r="D36" s="56"/>
      <c r="E36" s="56"/>
      <c r="F36" s="57" t="s">
        <v>103</v>
      </c>
      <c r="G36" s="57"/>
      <c r="H36" s="57"/>
      <c r="I36" s="57"/>
      <c r="J36" s="57"/>
      <c r="K36" s="57"/>
      <c r="L36" s="57"/>
      <c r="M36" s="57"/>
    </row>
    <row r="37" customFormat="false" ht="18" hidden="false" customHeight="true" outlineLevel="0" collapsed="false">
      <c r="B37" s="55" t="n">
        <v>10</v>
      </c>
      <c r="C37" s="56" t="s">
        <v>104</v>
      </c>
      <c r="D37" s="56"/>
      <c r="E37" s="56"/>
      <c r="F37" s="57" t="s">
        <v>105</v>
      </c>
      <c r="G37" s="57"/>
      <c r="H37" s="57"/>
      <c r="I37" s="57"/>
      <c r="J37" s="57"/>
      <c r="K37" s="57"/>
      <c r="L37" s="57"/>
      <c r="M37" s="57"/>
    </row>
    <row r="38" customFormat="false" ht="18" hidden="false" customHeight="true" outlineLevel="0" collapsed="false">
      <c r="B38" s="55" t="n">
        <v>11</v>
      </c>
      <c r="C38" s="56" t="s">
        <v>106</v>
      </c>
      <c r="D38" s="56"/>
      <c r="E38" s="56"/>
      <c r="F38" s="59" t="str">
        <f aca="false">"CapEx build breakdown (see CapEx tab) · pre-opening + Year 0 burn"</f>
        <v>CapEx build breakdown (see CapEx tab) · pre-opening + Year 0 burn</v>
      </c>
    </row>
    <row r="39" customFormat="false" ht="18" hidden="false" customHeight="true" outlineLevel="0" collapsed="false">
      <c r="B39" s="55" t="n">
        <v>12</v>
      </c>
      <c r="C39" s="56" t="s">
        <v>107</v>
      </c>
      <c r="D39" s="56"/>
      <c r="E39" s="56"/>
      <c r="F39" s="57" t="s">
        <v>108</v>
      </c>
      <c r="G39" s="57"/>
      <c r="H39" s="57"/>
      <c r="I39" s="57"/>
      <c r="J39" s="57"/>
      <c r="K39" s="57"/>
      <c r="L39" s="57"/>
      <c r="M39" s="57"/>
    </row>
    <row r="40" customFormat="false" ht="18" hidden="false" customHeight="true" outlineLevel="0" collapsed="false">
      <c r="B40" s="55" t="n">
        <v>13</v>
      </c>
      <c r="C40" s="56" t="s">
        <v>109</v>
      </c>
      <c r="D40" s="56"/>
      <c r="E40" s="56"/>
      <c r="F40" s="57" t="s">
        <v>110</v>
      </c>
      <c r="G40" s="57"/>
      <c r="H40" s="57"/>
      <c r="I40" s="57"/>
      <c r="J40" s="57"/>
      <c r="K40" s="57"/>
      <c r="L40" s="57"/>
      <c r="M40" s="57"/>
    </row>
    <row r="41" customFormat="false" ht="15" hidden="false" customHeight="true" outlineLevel="0" collapsed="false">
      <c r="B41" s="6"/>
      <c r="C41" s="6"/>
    </row>
    <row r="42" customFormat="false" ht="15" hidden="false" customHeight="true" outlineLevel="0" collapsed="false">
      <c r="B42" s="6"/>
      <c r="C42" s="6"/>
    </row>
    <row r="43" customFormat="false" ht="36" hidden="false" customHeight="true" outlineLevel="0" collapsed="false">
      <c r="B43" s="51" t="s">
        <v>111</v>
      </c>
      <c r="C43" s="51"/>
      <c r="D43" s="51"/>
      <c r="E43" s="51"/>
      <c r="F43" s="51"/>
      <c r="G43" s="51"/>
      <c r="H43" s="51"/>
      <c r="I43" s="51"/>
      <c r="J43" s="51"/>
      <c r="K43" s="51"/>
      <c r="L43" s="51"/>
      <c r="M43" s="51"/>
    </row>
    <row r="44" customFormat="false" ht="19.5" hidden="false" customHeight="true" outlineLevel="0" collapsed="false">
      <c r="B44" s="52" t="s">
        <v>84</v>
      </c>
      <c r="C44" s="53" t="s">
        <v>85</v>
      </c>
      <c r="D44" s="53"/>
      <c r="E44" s="53"/>
      <c r="F44" s="54" t="s">
        <v>112</v>
      </c>
      <c r="G44" s="54"/>
      <c r="H44" s="54"/>
      <c r="I44" s="54"/>
      <c r="J44" s="54"/>
      <c r="K44" s="54"/>
      <c r="L44" s="54"/>
      <c r="M44" s="54"/>
    </row>
    <row r="45" customFormat="false" ht="21.75" hidden="false" customHeight="true" outlineLevel="0" collapsed="false">
      <c r="B45" s="55" t="n">
        <v>1</v>
      </c>
      <c r="C45" s="56" t="s">
        <v>113</v>
      </c>
      <c r="D45" s="56"/>
      <c r="E45" s="56"/>
      <c r="F45" s="60" t="s">
        <v>114</v>
      </c>
      <c r="G45" s="60"/>
      <c r="H45" s="60"/>
      <c r="I45" s="60"/>
      <c r="J45" s="60"/>
      <c r="K45" s="60"/>
      <c r="L45" s="60"/>
      <c r="M45" s="60"/>
    </row>
    <row r="46" customFormat="false" ht="21.75" hidden="false" customHeight="true" outlineLevel="0" collapsed="false">
      <c r="B46" s="55" t="n">
        <v>2</v>
      </c>
      <c r="C46" s="56" t="s">
        <v>115</v>
      </c>
      <c r="D46" s="56"/>
      <c r="E46" s="56"/>
      <c r="F46" s="60" t="s">
        <v>116</v>
      </c>
      <c r="G46" s="60"/>
      <c r="H46" s="60"/>
      <c r="I46" s="60"/>
      <c r="J46" s="60"/>
      <c r="K46" s="60"/>
      <c r="L46" s="60"/>
      <c r="M46" s="60"/>
    </row>
    <row r="47" customFormat="false" ht="21.75" hidden="false" customHeight="true" outlineLevel="0" collapsed="false">
      <c r="B47" s="55" t="n">
        <v>3</v>
      </c>
      <c r="C47" s="56" t="s">
        <v>117</v>
      </c>
      <c r="D47" s="56"/>
      <c r="E47" s="56"/>
      <c r="F47" s="60" t="s">
        <v>118</v>
      </c>
      <c r="G47" s="60"/>
      <c r="H47" s="60"/>
      <c r="I47" s="60"/>
      <c r="J47" s="60"/>
      <c r="K47" s="60"/>
      <c r="L47" s="60"/>
      <c r="M47" s="60"/>
    </row>
    <row r="48" customFormat="false" ht="21.75" hidden="false" customHeight="true" outlineLevel="0" collapsed="false">
      <c r="B48" s="55" t="n">
        <v>4</v>
      </c>
      <c r="C48" s="56" t="s">
        <v>119</v>
      </c>
      <c r="D48" s="56"/>
      <c r="E48" s="56"/>
      <c r="F48" s="60" t="s">
        <v>120</v>
      </c>
      <c r="G48" s="60"/>
      <c r="H48" s="60"/>
      <c r="I48" s="60"/>
      <c r="J48" s="60"/>
      <c r="K48" s="60"/>
      <c r="L48" s="60"/>
      <c r="M48" s="60"/>
    </row>
    <row r="49" customFormat="false" ht="21.75" hidden="false" customHeight="true" outlineLevel="0" collapsed="false">
      <c r="B49" s="55" t="n">
        <v>5</v>
      </c>
      <c r="C49" s="56" t="s">
        <v>121</v>
      </c>
      <c r="D49" s="56"/>
      <c r="E49" s="56"/>
      <c r="F49" s="60" t="s">
        <v>122</v>
      </c>
      <c r="G49" s="60"/>
      <c r="H49" s="60"/>
      <c r="I49" s="60"/>
      <c r="J49" s="60"/>
      <c r="K49" s="60"/>
      <c r="L49" s="60"/>
      <c r="M49" s="60"/>
    </row>
    <row r="50" customFormat="false" ht="21.75" hidden="false" customHeight="true" outlineLevel="0" collapsed="false">
      <c r="B50" s="55" t="n">
        <v>6</v>
      </c>
      <c r="C50" s="56" t="s">
        <v>123</v>
      </c>
      <c r="D50" s="56"/>
      <c r="E50" s="56"/>
      <c r="F50" s="60" t="s">
        <v>124</v>
      </c>
      <c r="G50" s="60"/>
      <c r="H50" s="60"/>
      <c r="I50" s="60"/>
      <c r="J50" s="60"/>
      <c r="K50" s="60"/>
      <c r="L50" s="60"/>
      <c r="M50" s="60"/>
    </row>
    <row r="51" customFormat="false" ht="21.75" hidden="false" customHeight="true" outlineLevel="0" collapsed="false">
      <c r="B51" s="55" t="n">
        <v>7</v>
      </c>
      <c r="C51" s="56" t="s">
        <v>125</v>
      </c>
      <c r="D51" s="56"/>
      <c r="E51" s="56"/>
      <c r="F51" s="60" t="s">
        <v>126</v>
      </c>
      <c r="G51" s="60"/>
      <c r="H51" s="60"/>
      <c r="I51" s="60"/>
      <c r="J51" s="60"/>
      <c r="K51" s="60"/>
      <c r="L51" s="60"/>
      <c r="M51" s="60"/>
    </row>
    <row r="52" customFormat="false" ht="21.75" hidden="false" customHeight="true" outlineLevel="0" collapsed="false">
      <c r="B52" s="55" t="n">
        <v>8</v>
      </c>
      <c r="C52" s="56" t="s">
        <v>127</v>
      </c>
      <c r="D52" s="56"/>
      <c r="E52" s="56"/>
      <c r="F52" s="60" t="s">
        <v>128</v>
      </c>
      <c r="G52" s="60"/>
      <c r="H52" s="60"/>
      <c r="I52" s="60"/>
      <c r="J52" s="60"/>
      <c r="K52" s="60"/>
      <c r="L52" s="60"/>
      <c r="M52" s="60"/>
    </row>
    <row r="53" customFormat="false" ht="21.75" hidden="false" customHeight="true" outlineLevel="0" collapsed="false">
      <c r="B53" s="55" t="n">
        <v>9</v>
      </c>
      <c r="C53" s="56" t="s">
        <v>129</v>
      </c>
      <c r="D53" s="56"/>
      <c r="E53" s="56"/>
      <c r="F53" s="60" t="s">
        <v>130</v>
      </c>
      <c r="G53" s="60"/>
      <c r="H53" s="60"/>
      <c r="I53" s="60"/>
      <c r="J53" s="60"/>
      <c r="K53" s="60"/>
      <c r="L53" s="60"/>
      <c r="M53" s="60"/>
    </row>
    <row r="54" customFormat="false" ht="21.75" hidden="false" customHeight="true" outlineLevel="0" collapsed="false">
      <c r="B54" s="55" t="n">
        <v>10</v>
      </c>
      <c r="C54" s="56" t="s">
        <v>131</v>
      </c>
      <c r="D54" s="56"/>
      <c r="E54" s="56"/>
      <c r="F54" s="61" t="s">
        <v>132</v>
      </c>
    </row>
    <row r="55" customFormat="false" ht="21.75" hidden="false" customHeight="true" outlineLevel="0" collapsed="false">
      <c r="B55" s="55" t="n">
        <v>11</v>
      </c>
      <c r="C55" s="56" t="s">
        <v>133</v>
      </c>
      <c r="D55" s="56"/>
      <c r="E55" s="56"/>
      <c r="F55" s="60" t="s">
        <v>134</v>
      </c>
      <c r="G55" s="60"/>
      <c r="H55" s="60"/>
      <c r="I55" s="60"/>
      <c r="J55" s="60"/>
      <c r="K55" s="60"/>
      <c r="L55" s="60"/>
      <c r="M55" s="60"/>
    </row>
    <row r="56" customFormat="false" ht="15" hidden="false" customHeight="true" outlineLevel="0" collapsed="false">
      <c r="B56" s="6"/>
      <c r="C56" s="6"/>
    </row>
    <row r="57" customFormat="false" ht="15" hidden="false" customHeight="true" outlineLevel="0" collapsed="false">
      <c r="B57" s="6"/>
      <c r="C57" s="6"/>
    </row>
    <row r="58" customFormat="false" ht="36" hidden="false" customHeight="true" outlineLevel="0" collapsed="false">
      <c r="B58" s="51" t="s">
        <v>135</v>
      </c>
      <c r="C58" s="51"/>
      <c r="D58" s="51"/>
      <c r="E58" s="51"/>
      <c r="F58" s="51"/>
      <c r="G58" s="51"/>
      <c r="H58" s="51"/>
      <c r="I58" s="51"/>
      <c r="J58" s="51"/>
      <c r="K58" s="51"/>
      <c r="L58" s="51"/>
      <c r="M58" s="51"/>
    </row>
    <row r="59" customFormat="false" ht="19.5" hidden="false" customHeight="true" outlineLevel="0" collapsed="false">
      <c r="B59" s="53" t="s">
        <v>136</v>
      </c>
      <c r="C59" s="53"/>
      <c r="D59" s="54" t="s">
        <v>137</v>
      </c>
      <c r="E59" s="54"/>
      <c r="F59" s="54" t="s">
        <v>138</v>
      </c>
      <c r="G59" s="54"/>
      <c r="H59" s="54" t="s">
        <v>139</v>
      </c>
      <c r="I59" s="54"/>
      <c r="J59" s="54" t="s">
        <v>140</v>
      </c>
      <c r="K59" s="54"/>
      <c r="L59" s="54"/>
      <c r="M59" s="54"/>
    </row>
    <row r="60" customFormat="false" ht="21.75" hidden="false" customHeight="true" outlineLevel="0" collapsed="false">
      <c r="B60" s="62" t="s">
        <v>141</v>
      </c>
      <c r="C60" s="62"/>
      <c r="D60" s="63" t="n">
        <f aca="false">'Events · Revenue'!E18</f>
        <v>1206210</v>
      </c>
      <c r="E60" s="63"/>
      <c r="F60" s="63" t="n">
        <f aca="false">'Master Cost'!I8</f>
        <v>808282</v>
      </c>
      <c r="G60" s="63"/>
      <c r="H60" s="64" t="n">
        <f aca="false">'Master Cost'!J8</f>
        <v>0.670100562920221</v>
      </c>
      <c r="I60" s="64"/>
      <c r="J60" s="65" t="s">
        <v>142</v>
      </c>
      <c r="K60" s="65"/>
      <c r="L60" s="65"/>
      <c r="M60" s="65"/>
    </row>
    <row r="61" customFormat="false" ht="21.75" hidden="false" customHeight="true" outlineLevel="0" collapsed="false">
      <c r="B61" s="66" t="s">
        <v>143</v>
      </c>
      <c r="C61" s="66"/>
      <c r="D61" s="63" t="n">
        <f aca="false">'F&amp;B · Revenue'!E29</f>
        <v>789714.3</v>
      </c>
      <c r="E61" s="63"/>
      <c r="F61" s="63" t="n">
        <f aca="false">'Master Cost'!I13</f>
        <v>210270.524</v>
      </c>
      <c r="G61" s="63"/>
      <c r="H61" s="64" t="n">
        <f aca="false">'Master Cost'!J13</f>
        <v>0.266261512549538</v>
      </c>
      <c r="I61" s="64"/>
      <c r="J61" s="65" t="s">
        <v>144</v>
      </c>
      <c r="K61" s="65"/>
      <c r="L61" s="65"/>
      <c r="M61" s="65"/>
    </row>
    <row r="62" customFormat="false" ht="21.75" hidden="false" customHeight="true" outlineLevel="0" collapsed="false">
      <c r="B62" s="67" t="s">
        <v>145</v>
      </c>
      <c r="C62" s="67"/>
      <c r="D62" s="63" t="n">
        <f aca="false">'Academy · Revenue'!E17</f>
        <v>1595070</v>
      </c>
      <c r="E62" s="63"/>
      <c r="F62" s="63" t="n">
        <f aca="false">'Master Cost'!I9</f>
        <v>1082048</v>
      </c>
      <c r="G62" s="63"/>
      <c r="H62" s="64" t="n">
        <f aca="false">'Master Cost'!J9</f>
        <v>0.678370228265844</v>
      </c>
      <c r="I62" s="64"/>
      <c r="J62" s="65" t="s">
        <v>146</v>
      </c>
      <c r="K62" s="65"/>
      <c r="L62" s="65"/>
      <c r="M62" s="65"/>
    </row>
    <row r="63" customFormat="false" ht="21.75" hidden="false" customHeight="true" outlineLevel="0" collapsed="false">
      <c r="B63" s="68" t="s">
        <v>147</v>
      </c>
      <c r="C63" s="68"/>
      <c r="D63" s="63" t="n">
        <f aca="false">'Gaming · Revenue'!D58</f>
        <v>1000998.35</v>
      </c>
      <c r="E63" s="63"/>
      <c r="F63" s="63" t="n">
        <f aca="false">'Master Cost'!I7</f>
        <v>533507.497025</v>
      </c>
      <c r="G63" s="63"/>
      <c r="H63" s="64" t="n">
        <f aca="false">'Master Cost'!J7</f>
        <v>0.532975401033378</v>
      </c>
      <c r="I63" s="64"/>
      <c r="J63" s="65" t="s">
        <v>148</v>
      </c>
      <c r="K63" s="65"/>
      <c r="L63" s="65"/>
      <c r="M63" s="65"/>
    </row>
    <row r="64" customFormat="false" ht="21.75" hidden="false" customHeight="true" outlineLevel="0" collapsed="false">
      <c r="B64" s="69" t="s">
        <v>149</v>
      </c>
      <c r="C64" s="69"/>
      <c r="D64" s="63" t="n">
        <f aca="false">'Esports · Revenue'!E12</f>
        <v>693656.4</v>
      </c>
      <c r="E64" s="63"/>
      <c r="F64" s="63" t="n">
        <f aca="false">'Master Cost'!I10</f>
        <v>477658</v>
      </c>
      <c r="G64" s="63"/>
      <c r="H64" s="64" t="n">
        <f aca="false">'Master Cost'!J10</f>
        <v>0.688608942410104</v>
      </c>
      <c r="I64" s="64"/>
      <c r="J64" s="65" t="s">
        <v>150</v>
      </c>
      <c r="K64" s="65"/>
      <c r="L64" s="65"/>
      <c r="M64" s="65"/>
    </row>
    <row r="65" customFormat="false" ht="21.75" hidden="false" customHeight="true" outlineLevel="0" collapsed="false">
      <c r="B65" s="70" t="s">
        <v>151</v>
      </c>
      <c r="C65" s="70"/>
      <c r="D65" s="63" t="n">
        <f aca="false">'Museum · Revenue'!E24</f>
        <v>488873.1</v>
      </c>
      <c r="E65" s="63"/>
      <c r="F65" s="63" t="n">
        <f aca="false">'Master Cost'!I11</f>
        <v>239836.9</v>
      </c>
      <c r="G65" s="63"/>
      <c r="H65" s="64" t="n">
        <f aca="false">'Master Cost'!J11</f>
        <v>0.49059132114244</v>
      </c>
      <c r="I65" s="64"/>
      <c r="J65" s="65" t="s">
        <v>152</v>
      </c>
      <c r="K65" s="65"/>
      <c r="L65" s="65"/>
      <c r="M65" s="65"/>
    </row>
    <row r="66" customFormat="false" ht="21.75" hidden="false" customHeight="true" outlineLevel="0" collapsed="false">
      <c r="B66" s="71" t="s">
        <v>153</v>
      </c>
      <c r="C66" s="71"/>
      <c r="D66" s="63" t="n">
        <f aca="false">'Sponsorships · Revenue'!E27</f>
        <v>287000</v>
      </c>
      <c r="E66" s="63"/>
      <c r="F66" s="63" t="n">
        <f aca="false">'Master Cost'!I14</f>
        <v>181040</v>
      </c>
      <c r="G66" s="63"/>
      <c r="H66" s="64" t="n">
        <f aca="false">'Master Cost'!J14</f>
        <v>0.630801393728223</v>
      </c>
      <c r="I66" s="64"/>
      <c r="J66" s="65" t="s">
        <v>154</v>
      </c>
      <c r="K66" s="65"/>
      <c r="L66" s="65"/>
      <c r="M66" s="65"/>
    </row>
    <row r="67" customFormat="false" ht="21.75" hidden="false" customHeight="true" outlineLevel="0" collapsed="false">
      <c r="B67" s="72" t="s">
        <v>155</v>
      </c>
      <c r="C67" s="72"/>
      <c r="D67" s="63" t="n">
        <f aca="false">'Borderless · Revenue'!E21</f>
        <v>289500</v>
      </c>
      <c r="E67" s="63"/>
      <c r="F67" s="63" t="n">
        <f aca="false">'Master Cost'!I15</f>
        <v>197000</v>
      </c>
      <c r="G67" s="63"/>
      <c r="H67" s="64" t="n">
        <f aca="false">'Master Cost'!J15</f>
        <v>0.680483592400691</v>
      </c>
      <c r="I67" s="64"/>
      <c r="J67" s="65" t="s">
        <v>156</v>
      </c>
      <c r="K67" s="65"/>
      <c r="L67" s="65"/>
      <c r="M67" s="65"/>
    </row>
    <row r="68" customFormat="false" ht="21.75" hidden="false" customHeight="true" outlineLevel="0" collapsed="false">
      <c r="B68" s="73" t="s">
        <v>157</v>
      </c>
      <c r="C68" s="73"/>
      <c r="D68" s="63" t="n">
        <f aca="false">'Subleasing · Revenue'!E30</f>
        <v>321000</v>
      </c>
      <c r="E68" s="63"/>
      <c r="F68" s="63" t="n">
        <f aca="false">'Master Cost'!I12</f>
        <v>293080</v>
      </c>
      <c r="G68" s="63"/>
      <c r="H68" s="64" t="n">
        <f aca="false">'Master Cost'!J12</f>
        <v>0.913021806853583</v>
      </c>
      <c r="I68" s="64"/>
      <c r="J68" s="65" t="s">
        <v>158</v>
      </c>
      <c r="K68" s="65"/>
      <c r="L68" s="65"/>
      <c r="M68" s="65"/>
    </row>
    <row r="69" customFormat="false" ht="15" hidden="false" customHeight="true" outlineLevel="0" collapsed="false">
      <c r="B69" s="43" t="s">
        <v>159</v>
      </c>
      <c r="C69" s="43"/>
      <c r="D69" s="74" t="n">
        <f aca="false">'Exec Summary'!C12</f>
        <v>6672022.15</v>
      </c>
      <c r="E69" s="74"/>
      <c r="F69" s="74" t="n">
        <f aca="false">'Exec Summary'!E14</f>
        <v>4022722.921025</v>
      </c>
      <c r="G69" s="74"/>
      <c r="H69" s="75" t="n">
        <f aca="false">'Exec Summary'!F14</f>
        <v>0.602924095661913</v>
      </c>
      <c r="I69" s="75"/>
      <c r="J69" s="76" t="str">
        <f aca="false">"  Pillar EBITDA before $"&amp;TEXT('Master Cost'!C55/1000,"#,##0")&amp;"K Group Overhead"</f>
        <v>  Pillar EBITDA before $1,762K Group Overhead</v>
      </c>
    </row>
    <row r="70" customFormat="false" ht="18" hidden="false" customHeight="true" outlineLevel="0" collapsed="false">
      <c r="B70" s="77" t="s">
        <v>160</v>
      </c>
      <c r="C70" s="77"/>
      <c r="D70" s="14"/>
      <c r="E70" s="14"/>
      <c r="F70" s="78" t="n">
        <f aca="false">'Exec Summary'!E12</f>
        <v>2261172.256525</v>
      </c>
      <c r="G70" s="78"/>
      <c r="H70" s="79" t="n">
        <f aca="false">'Exec Summary'!F12</f>
        <v>0.338903589599894</v>
      </c>
      <c r="I70" s="79"/>
      <c r="J70" s="80" t="s">
        <v>161</v>
      </c>
      <c r="K70" s="80"/>
      <c r="L70" s="80"/>
      <c r="M70" s="80"/>
    </row>
    <row r="71" customFormat="false" ht="15" hidden="false" customHeight="true" outlineLevel="0" collapsed="false">
      <c r="B71" s="6"/>
      <c r="C71" s="6"/>
    </row>
    <row r="72" customFormat="false" ht="15" hidden="false" customHeight="true" outlineLevel="0" collapsed="false">
      <c r="B72" s="6"/>
      <c r="C72" s="6"/>
    </row>
    <row r="73" customFormat="false" ht="21.75" hidden="false" customHeight="true" outlineLevel="0" collapsed="false">
      <c r="B73" s="51" t="s">
        <v>162</v>
      </c>
      <c r="C73" s="51"/>
      <c r="D73" s="51"/>
      <c r="E73" s="51"/>
      <c r="F73" s="51"/>
      <c r="G73" s="51"/>
      <c r="H73" s="51"/>
      <c r="I73" s="51"/>
      <c r="J73" s="51"/>
      <c r="K73" s="51"/>
      <c r="L73" s="51"/>
      <c r="M73" s="51"/>
    </row>
    <row r="74" customFormat="false" ht="18" hidden="false" customHeight="true" outlineLevel="0" collapsed="false">
      <c r="B74" s="81" t="s">
        <v>163</v>
      </c>
      <c r="C74" s="82" t="s">
        <v>164</v>
      </c>
      <c r="D74" s="82"/>
      <c r="E74" s="82"/>
      <c r="F74" s="82"/>
      <c r="G74" s="82"/>
      <c r="H74" s="83" t="s">
        <v>165</v>
      </c>
      <c r="I74" s="84" t="s">
        <v>166</v>
      </c>
      <c r="J74" s="84"/>
      <c r="K74" s="84"/>
      <c r="L74" s="84"/>
      <c r="M74" s="84"/>
    </row>
    <row r="75" customFormat="false" ht="18" hidden="false" customHeight="true" outlineLevel="0" collapsed="false">
      <c r="B75" s="81" t="s">
        <v>167</v>
      </c>
      <c r="C75" s="82" t="s">
        <v>168</v>
      </c>
      <c r="D75" s="82"/>
      <c r="E75" s="82"/>
      <c r="F75" s="82"/>
      <c r="G75" s="82"/>
      <c r="H75" s="83" t="s">
        <v>169</v>
      </c>
      <c r="I75" s="84" t="s">
        <v>170</v>
      </c>
      <c r="J75" s="84"/>
      <c r="K75" s="84"/>
      <c r="L75" s="84"/>
      <c r="M75" s="84"/>
    </row>
    <row r="76" customFormat="false" ht="18" hidden="false" customHeight="true" outlineLevel="0" collapsed="false">
      <c r="B76" s="81" t="s">
        <v>171</v>
      </c>
      <c r="C76" s="82" t="s">
        <v>172</v>
      </c>
      <c r="D76" s="82"/>
      <c r="E76" s="82"/>
      <c r="F76" s="82"/>
      <c r="G76" s="82"/>
      <c r="H76" s="83" t="s">
        <v>173</v>
      </c>
      <c r="I76" s="84" t="s">
        <v>174</v>
      </c>
      <c r="J76" s="84"/>
      <c r="K76" s="84"/>
      <c r="L76" s="84"/>
      <c r="M76" s="84"/>
    </row>
    <row r="77" customFormat="false" ht="18" hidden="false" customHeight="true" outlineLevel="0" collapsed="false">
      <c r="B77" s="81" t="s">
        <v>175</v>
      </c>
      <c r="C77" s="82" t="s">
        <v>176</v>
      </c>
      <c r="D77" s="82"/>
      <c r="E77" s="82"/>
      <c r="F77" s="82"/>
      <c r="G77" s="82"/>
      <c r="H77" s="83" t="s">
        <v>177</v>
      </c>
      <c r="I77" s="84" t="s">
        <v>178</v>
      </c>
      <c r="J77" s="84"/>
      <c r="K77" s="84"/>
      <c r="L77" s="84"/>
      <c r="M77" s="84"/>
    </row>
    <row r="78" customFormat="false" ht="18" hidden="false" customHeight="true" outlineLevel="0" collapsed="false">
      <c r="B78" s="81" t="s">
        <v>179</v>
      </c>
      <c r="C78" s="82" t="s">
        <v>180</v>
      </c>
      <c r="D78" s="82"/>
      <c r="E78" s="82"/>
      <c r="F78" s="82"/>
      <c r="G78" s="82"/>
      <c r="H78" s="83" t="s">
        <v>181</v>
      </c>
      <c r="I78" s="84" t="s">
        <v>182</v>
      </c>
      <c r="J78" s="84"/>
      <c r="K78" s="84"/>
      <c r="L78" s="84"/>
      <c r="M78" s="84"/>
    </row>
    <row r="79" customFormat="false" ht="18" hidden="false" customHeight="true" outlineLevel="0" collapsed="false">
      <c r="B79" s="81" t="s">
        <v>183</v>
      </c>
      <c r="C79" s="82" t="s">
        <v>184</v>
      </c>
      <c r="D79" s="82"/>
      <c r="E79" s="82"/>
      <c r="F79" s="82"/>
      <c r="G79" s="82"/>
      <c r="H79" s="83" t="s">
        <v>185</v>
      </c>
      <c r="I79" s="84" t="s">
        <v>186</v>
      </c>
      <c r="J79" s="84"/>
      <c r="K79" s="84"/>
      <c r="L79" s="84"/>
      <c r="M79" s="84"/>
    </row>
    <row r="80" customFormat="false" ht="18" hidden="false" customHeight="true" outlineLevel="0" collapsed="false">
      <c r="B80" s="81" t="s">
        <v>187</v>
      </c>
      <c r="C80" s="82" t="s">
        <v>188</v>
      </c>
      <c r="D80" s="82"/>
      <c r="E80" s="82"/>
      <c r="F80" s="82"/>
      <c r="G80" s="82"/>
      <c r="H80" s="83" t="s">
        <v>189</v>
      </c>
      <c r="I80" s="84" t="s">
        <v>190</v>
      </c>
      <c r="J80" s="84"/>
      <c r="K80" s="84"/>
      <c r="L80" s="84"/>
      <c r="M80" s="84"/>
    </row>
    <row r="81" customFormat="false" ht="18" hidden="false" customHeight="true" outlineLevel="0" collapsed="false">
      <c r="B81" s="81" t="s">
        <v>191</v>
      </c>
      <c r="C81" s="82" t="s">
        <v>192</v>
      </c>
      <c r="D81" s="82"/>
      <c r="E81" s="82"/>
      <c r="F81" s="82"/>
      <c r="G81" s="82"/>
      <c r="H81" s="83" t="s">
        <v>193</v>
      </c>
      <c r="I81" s="84" t="s">
        <v>194</v>
      </c>
      <c r="J81" s="84"/>
      <c r="K81" s="84"/>
      <c r="L81" s="84"/>
      <c r="M81" s="84"/>
    </row>
    <row r="82" customFormat="false" ht="15" hidden="false" customHeight="true" outlineLevel="0" collapsed="false">
      <c r="B82" s="6"/>
      <c r="C82" s="6"/>
    </row>
    <row r="83" customFormat="false" ht="15" hidden="false" customHeight="true" outlineLevel="0" collapsed="false">
      <c r="B83" s="6"/>
      <c r="C83" s="6"/>
    </row>
    <row r="84" customFormat="false" ht="66" hidden="false" customHeight="true" outlineLevel="0" collapsed="false">
      <c r="B84" s="85" t="s">
        <v>195</v>
      </c>
      <c r="C84" s="85"/>
      <c r="D84" s="85"/>
      <c r="E84" s="85"/>
      <c r="F84" s="85"/>
      <c r="G84" s="85"/>
      <c r="H84" s="85"/>
      <c r="I84" s="85"/>
      <c r="J84" s="85"/>
      <c r="K84" s="85"/>
      <c r="L84" s="85"/>
      <c r="M84" s="85"/>
    </row>
    <row r="85" customFormat="false" ht="15" hidden="false" customHeight="true" outlineLevel="0" collapsed="false">
      <c r="B85" s="6"/>
      <c r="C85" s="6"/>
    </row>
    <row r="86" customFormat="false" ht="15" hidden="false" customHeight="true" outlineLevel="0" collapsed="false">
      <c r="B86" s="6"/>
      <c r="C86" s="6"/>
    </row>
    <row r="87" customFormat="false" ht="36" hidden="false" customHeight="true" outlineLevel="0" collapsed="false">
      <c r="B87" s="86" t="s">
        <v>196</v>
      </c>
      <c r="C87" s="86"/>
      <c r="D87" s="86"/>
      <c r="E87" s="86"/>
      <c r="F87" s="86"/>
      <c r="G87" s="86"/>
      <c r="H87" s="86"/>
      <c r="I87" s="86"/>
      <c r="J87" s="86"/>
      <c r="K87" s="86"/>
      <c r="L87" s="86"/>
      <c r="M87" s="86"/>
    </row>
    <row r="88" customFormat="false" ht="141" hidden="false" customHeight="true" outlineLevel="0" collapsed="false">
      <c r="B88" s="87" t="str">
        <f aca="false">"190+ sheets · 0 errors · Y4 BASE: $"&amp;TEXT('Master Revenue'!I17/1000000,"0.00")&amp;"M Rev · $"&amp;TEXT('Master OpEx'!D30/1000000,"0.00")&amp;"M Platform EBITDA · "&amp;TEXT('Master OpEx'!D31,"0.0%")&amp;" margin · LP cash at risk $"&amp;TEXT(MASTER_ASSUMPTIONS!C13/1000000,"0.00")&amp;"M ("&amp;TEXT(CAPITAL_EFFICIENCY!C32,"0.0%")&amp;" of $"&amp;TEXT(CapEx!E54/1000000,"0.00")&amp;"M project) · Exit "&amp;TEXT(MASTER_ASSUMPTIONS!C27,"0.0")&amp;"× Y3 EBITDA = $"&amp;TEXT(MASTER_ASSUMPTIONS!C26/1000000,"0.0")&amp;"M"</f>
        <v>190+ sheets · 0 errors · Y4 BASE: $6.67M Rev · $2.26M Platform EBITDA · 33.9% margin · LP cash at risk $7.82M (27.7% of $28.28M project) · Exit 16.0× Y3 EBITDA = $34.5M</v>
      </c>
      <c r="C88" s="6"/>
    </row>
  </sheetData>
  <mergeCells count="145">
    <mergeCell ref="B2:I2"/>
    <mergeCell ref="J2:M2"/>
    <mergeCell ref="B5:M5"/>
    <mergeCell ref="C6:M6"/>
    <mergeCell ref="C7:M7"/>
    <mergeCell ref="C13:M13"/>
    <mergeCell ref="C14:L14"/>
    <mergeCell ref="C15:M15"/>
    <mergeCell ref="B17:M17"/>
    <mergeCell ref="B18:M18"/>
    <mergeCell ref="B19:M19"/>
    <mergeCell ref="B20:M20"/>
    <mergeCell ref="B21:M21"/>
    <mergeCell ref="B22:M22"/>
    <mergeCell ref="B23:M23"/>
    <mergeCell ref="B26:M26"/>
    <mergeCell ref="C27:E27"/>
    <mergeCell ref="F27:M27"/>
    <mergeCell ref="C28:E28"/>
    <mergeCell ref="F28:M28"/>
    <mergeCell ref="C29:E29"/>
    <mergeCell ref="F29:M29"/>
    <mergeCell ref="C30:E30"/>
    <mergeCell ref="C31:E31"/>
    <mergeCell ref="F31:M31"/>
    <mergeCell ref="C32:E32"/>
    <mergeCell ref="F32:M32"/>
    <mergeCell ref="C33:E33"/>
    <mergeCell ref="F33:M33"/>
    <mergeCell ref="C34:E34"/>
    <mergeCell ref="F34:M34"/>
    <mergeCell ref="C35:E35"/>
    <mergeCell ref="F35:M35"/>
    <mergeCell ref="C36:E36"/>
    <mergeCell ref="F36:M36"/>
    <mergeCell ref="C37:E37"/>
    <mergeCell ref="F37:M37"/>
    <mergeCell ref="C38:E38"/>
    <mergeCell ref="C39:E39"/>
    <mergeCell ref="F39:M39"/>
    <mergeCell ref="C40:E40"/>
    <mergeCell ref="F40:M40"/>
    <mergeCell ref="B43:M43"/>
    <mergeCell ref="C44:E44"/>
    <mergeCell ref="F44:M44"/>
    <mergeCell ref="C45:E45"/>
    <mergeCell ref="F45:M45"/>
    <mergeCell ref="C46:E46"/>
    <mergeCell ref="F46:M46"/>
    <mergeCell ref="C47:E47"/>
    <mergeCell ref="F47:M47"/>
    <mergeCell ref="C48:E48"/>
    <mergeCell ref="F48:M48"/>
    <mergeCell ref="C49:E49"/>
    <mergeCell ref="F49:M49"/>
    <mergeCell ref="C50:E50"/>
    <mergeCell ref="F50:M50"/>
    <mergeCell ref="C51:E51"/>
    <mergeCell ref="F51:M51"/>
    <mergeCell ref="C52:E52"/>
    <mergeCell ref="F52:M52"/>
    <mergeCell ref="C53:E53"/>
    <mergeCell ref="F53:M53"/>
    <mergeCell ref="C54:E54"/>
    <mergeCell ref="C55:E55"/>
    <mergeCell ref="F55:M55"/>
    <mergeCell ref="B58:M58"/>
    <mergeCell ref="B59:C59"/>
    <mergeCell ref="D59:E59"/>
    <mergeCell ref="F59:G59"/>
    <mergeCell ref="H59:I59"/>
    <mergeCell ref="J59:M59"/>
    <mergeCell ref="B60:C60"/>
    <mergeCell ref="D60:E60"/>
    <mergeCell ref="F60:G60"/>
    <mergeCell ref="H60:I60"/>
    <mergeCell ref="J60:M60"/>
    <mergeCell ref="B61:C61"/>
    <mergeCell ref="D61:E61"/>
    <mergeCell ref="F61:G61"/>
    <mergeCell ref="H61:I61"/>
    <mergeCell ref="J61:M61"/>
    <mergeCell ref="B62:C62"/>
    <mergeCell ref="D62:E62"/>
    <mergeCell ref="F62:G62"/>
    <mergeCell ref="H62:I62"/>
    <mergeCell ref="J62:M62"/>
    <mergeCell ref="B63:C63"/>
    <mergeCell ref="D63:E63"/>
    <mergeCell ref="F63:G63"/>
    <mergeCell ref="H63:I63"/>
    <mergeCell ref="J63:M63"/>
    <mergeCell ref="B64:C64"/>
    <mergeCell ref="D64:E64"/>
    <mergeCell ref="F64:G64"/>
    <mergeCell ref="H64:I64"/>
    <mergeCell ref="J64:M64"/>
    <mergeCell ref="B65:C65"/>
    <mergeCell ref="D65:E65"/>
    <mergeCell ref="F65:G65"/>
    <mergeCell ref="H65:I65"/>
    <mergeCell ref="J65:M65"/>
    <mergeCell ref="B66:C66"/>
    <mergeCell ref="D66:E66"/>
    <mergeCell ref="F66:G66"/>
    <mergeCell ref="H66:I66"/>
    <mergeCell ref="J66:M66"/>
    <mergeCell ref="B67:C67"/>
    <mergeCell ref="D67:E67"/>
    <mergeCell ref="F67:G67"/>
    <mergeCell ref="H67:I67"/>
    <mergeCell ref="J67:M67"/>
    <mergeCell ref="B68:C68"/>
    <mergeCell ref="D68:E68"/>
    <mergeCell ref="F68:G68"/>
    <mergeCell ref="H68:I68"/>
    <mergeCell ref="J68:M68"/>
    <mergeCell ref="B69:C69"/>
    <mergeCell ref="D69:E69"/>
    <mergeCell ref="F69:G69"/>
    <mergeCell ref="H69:I69"/>
    <mergeCell ref="B70:C70"/>
    <mergeCell ref="D70:E70"/>
    <mergeCell ref="F70:G70"/>
    <mergeCell ref="H70:I70"/>
    <mergeCell ref="J70:M70"/>
    <mergeCell ref="B73:M73"/>
    <mergeCell ref="C74:G74"/>
    <mergeCell ref="I74:M74"/>
    <mergeCell ref="C75:G75"/>
    <mergeCell ref="I75:M75"/>
    <mergeCell ref="C76:G76"/>
    <mergeCell ref="I76:M76"/>
    <mergeCell ref="C77:G77"/>
    <mergeCell ref="I77:M77"/>
    <mergeCell ref="C78:G78"/>
    <mergeCell ref="I78:M78"/>
    <mergeCell ref="C79:G79"/>
    <mergeCell ref="I79:M79"/>
    <mergeCell ref="C80:G80"/>
    <mergeCell ref="I80:M80"/>
    <mergeCell ref="C81:G81"/>
    <mergeCell ref="I81:M81"/>
    <mergeCell ref="B84:M84"/>
    <mergeCell ref="B87:M87"/>
  </mergeCells>
  <hyperlinks>
    <hyperlink ref="C28" location="'Exec Summary'!A1" display="Exec Summary"/>
    <hyperlink ref="C29" location="'Master Revenue'!A1" display="Master Revenue"/>
    <hyperlink ref="C30" location="'Master Cost'!A1" display="Master Cost"/>
    <hyperlink ref="C31" location="'Cross-Pillar'!A1" display="Cross-Pillar"/>
    <hyperlink ref="C32" location="'Traffic Engine'!A1" display="Traffic Engine"/>
    <hyperlink ref="C33" location="'Monetization'!A1" display="Monetization"/>
    <hyperlink ref="C34" location="'Borderless Mod'!A1" display="Borderless Mod"/>
    <hyperlink ref="C35" location="'Scenarios'!A1" display="Scenarios"/>
    <hyperlink ref="C36" location="'Sensitivity'!A1" display="Sensitivity"/>
    <hyperlink ref="C37" location="'Investor Dash'!A1" display="Investor Dash"/>
    <hyperlink ref="C38" location="'CapEx'!A1" display="CapEx"/>
    <hyperlink ref="C39" location="'MASTER_DEMAND_ENGINE'!A1" display="MASTER_DEMAND_ENGINE"/>
    <hyperlink ref="C40" location="'MASTER_FLOW_DASHBOARD'!A1" display="MASTER_FLOW_DASHBOARD"/>
    <hyperlink ref="C45" location="'INVESTOR_NARRATIVE'!A1" display="INVESTOR_NARRATIVE"/>
    <hyperlink ref="C46" location="'DEMAND_PROOF_PACK'!A1" display="DEMAND_PROOF_PACK"/>
    <hyperlink ref="C47" location="'EVENT_ENGINE'!A1" display="EVENT_ENGINE"/>
    <hyperlink ref="C48" location="'FNB_ATTACHMENT'!A1" display="FNB_ATTACHMENT"/>
    <hyperlink ref="C49" location="'ACADEMY_STRUCTURE'!A1" display="ACADEMY_STRUCTURE"/>
    <hyperlink ref="C50" location="'SPONSORSHIP_STRUCTURE'!A1" display="SPONSORSHIP_STRUCTURE"/>
    <hyperlink ref="C51" location="'MUSEUM_ROLE'!A1" display="MUSEUM_ROLE"/>
    <hyperlink ref="C52" location="'RAMP_STRUCTURE'!A1" display="RAMP_STRUCTURE"/>
    <hyperlink ref="C53" location="'COST_STRUCTURE'!A1" display="COST_STRUCTURE"/>
    <hyperlink ref="C54" location="'OVERHEAD_SENSITIVITY'!A1" display="OVERHEAD_SENSITIVITY"/>
    <hyperlink ref="C55" location="'ROLL_OUT_PLAN'!A1" display="ROLL_OUT_PLAN"/>
    <hyperlink ref="J60" location="'Events · SUMMARY'!A1" display="  → Events · SUMMARY  (Largest pillar — events + catering · 71.7% margin)"/>
    <hyperlink ref="J61" location="'F&amp;B · SUMMARY'!A1" display="  → F&amp;B · SUMMARY  (Cross-pillar attached — Gaming/Events/Museum visitor spend)"/>
    <hyperlink ref="J62" location="'Academy · SUMMARY'!A1" display="  → Academy · SUMMARY  (6 specialized labs + classrooms · B2C + B2B Corporate Training)"/>
    <hyperlink ref="J63" location="'Gaming · SUMMARY'!A1" display="  → Gaming · SUMMARY  (VR + Arcade + Redemption + Party · traffic engine)"/>
    <hyperlink ref="J64" location="'Esports · SUMMARY'!A1" display="  → Esports · SUMMARY  (Members + tournaments + walk-ins · gamer monetization)"/>
    <hyperlink ref="J65" location="'Museum · SUMMARY'!A1" display="  → Museum · SUMMARY  (Cultural anchor · Moroccan Future &amp; Culture · drives cross-pillar traffic)"/>
    <hyperlink ref="J66" location="'Sponsorships · SUMMARY'!A1" display="  → Sponsorships · SUMMARY  (4 sponsorship streams · 76% margin · highest cash-on-cash)"/>
    <hyperlink ref="J67" location="'Borderless · SUMMARY'!A1" display="  → Borderless · SUMMARY  (Talent Agency + Education + Production · asset-light scale)"/>
    <hyperlink ref="J68" location="'Subleasing · SUMMARY'!A1" display="  → Subleasing · SUMMARY  (60 tenants × commercial rent · stability + fixed-cost cover)"/>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7" activePane="bottomRight" state="frozen"/>
      <selection pane="topLeft" activeCell="A1" activeCellId="0" sqref="A1"/>
      <selection pane="topRight" activeCell="C1" activeCellId="0" sqref="C1"/>
      <selection pane="bottomLeft" activeCell="A7" activeCellId="0" sqref="A7"/>
      <selection pane="bottomRight" activeCell="N21" activeCellId="0" sqref="N2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32"/>
    <col collapsed="false" customWidth="true" hidden="false" outlineLevel="0" max="8" min="8" style="0" width="20"/>
    <col collapsed="false" customWidth="true" hidden="false" outlineLevel="0" max="11" min="9" style="0" width="11"/>
  </cols>
  <sheetData>
    <row r="1" customFormat="false" ht="3.75" hidden="false" customHeight="true" outlineLevel="0" collapsed="false">
      <c r="B1" s="1"/>
      <c r="C1" s="2"/>
      <c r="D1" s="2"/>
      <c r="E1" s="2"/>
      <c r="F1" s="2"/>
      <c r="G1" s="1"/>
      <c r="H1" s="2"/>
      <c r="I1" s="2"/>
      <c r="J1" s="2"/>
      <c r="K1" s="2"/>
    </row>
    <row r="2" customFormat="false" ht="27.75" hidden="false" customHeight="true" outlineLevel="0" collapsed="false">
      <c r="B2" s="88" t="s">
        <v>1867</v>
      </c>
      <c r="C2" s="88"/>
      <c r="D2" s="88"/>
      <c r="E2" s="88"/>
      <c r="F2" s="88"/>
      <c r="G2" s="88"/>
      <c r="H2" s="89" t="s">
        <v>198</v>
      </c>
      <c r="I2" s="89"/>
      <c r="J2" s="89"/>
      <c r="K2" s="89"/>
    </row>
    <row r="3" customFormat="false" ht="33.75" hidden="false" customHeight="true" outlineLevel="0" collapsed="false">
      <c r="B3" s="90" t="s">
        <v>1868</v>
      </c>
      <c r="C3" s="90"/>
      <c r="D3" s="90"/>
      <c r="E3" s="90"/>
      <c r="F3" s="90"/>
      <c r="G3" s="90"/>
      <c r="H3" s="90"/>
      <c r="I3" s="90"/>
      <c r="J3" s="90"/>
      <c r="K3" s="90"/>
    </row>
    <row r="4" customFormat="false" ht="15" hidden="false" customHeight="true" outlineLevel="0" collapsed="false">
      <c r="B4" s="6"/>
      <c r="G4" s="6"/>
    </row>
    <row r="5" customFormat="false" ht="21.75" hidden="false" customHeight="true" outlineLevel="0" collapsed="false">
      <c r="B5" s="96" t="s">
        <v>1869</v>
      </c>
      <c r="C5" s="96"/>
      <c r="D5" s="96"/>
      <c r="E5" s="96"/>
      <c r="F5" s="96"/>
      <c r="G5" s="96"/>
      <c r="H5" s="96"/>
      <c r="I5" s="96"/>
      <c r="J5" s="96"/>
      <c r="K5" s="96"/>
    </row>
    <row r="6" customFormat="false" ht="21.75" hidden="false" customHeight="true" outlineLevel="0" collapsed="false">
      <c r="B6" s="97" t="s">
        <v>1870</v>
      </c>
      <c r="C6" s="98" t="s">
        <v>1871</v>
      </c>
      <c r="D6" s="98" t="s">
        <v>1872</v>
      </c>
      <c r="E6" s="98" t="s">
        <v>1873</v>
      </c>
      <c r="F6" s="98" t="s">
        <v>1874</v>
      </c>
      <c r="G6" s="97" t="s">
        <v>1875</v>
      </c>
      <c r="H6" s="551" t="s">
        <v>1658</v>
      </c>
      <c r="I6" s="561" t="s">
        <v>1876</v>
      </c>
      <c r="J6" s="561" t="s">
        <v>1877</v>
      </c>
    </row>
    <row r="7" customFormat="false" ht="16.5" hidden="false" customHeight="true" outlineLevel="0" collapsed="false">
      <c r="B7" s="113" t="s">
        <v>1878</v>
      </c>
      <c r="C7" s="562" t="n">
        <v>46800</v>
      </c>
      <c r="D7" s="563" t="n">
        <v>900</v>
      </c>
      <c r="E7" s="563" t="n">
        <v>130</v>
      </c>
      <c r="F7" s="564" t="n">
        <v>0.4</v>
      </c>
      <c r="G7" s="128" t="s">
        <v>1879</v>
      </c>
      <c r="H7" s="565" t="s">
        <v>1880</v>
      </c>
      <c r="I7" s="566" t="n">
        <v>2.2</v>
      </c>
      <c r="J7" s="567" t="n">
        <f aca="false">ROUND(C7/I7,0)</f>
        <v>21273</v>
      </c>
    </row>
    <row r="8" customFormat="false" ht="16.5" hidden="false" customHeight="true" outlineLevel="0" collapsed="false">
      <c r="B8" s="113" t="s">
        <v>1881</v>
      </c>
      <c r="C8" s="562" t="n">
        <v>36000</v>
      </c>
      <c r="D8" s="563" t="n">
        <v>693</v>
      </c>
      <c r="E8" s="563" t="n">
        <v>100</v>
      </c>
      <c r="F8" s="564" t="n">
        <v>0.45</v>
      </c>
      <c r="G8" s="128" t="s">
        <v>1882</v>
      </c>
      <c r="H8" s="565" t="s">
        <v>1883</v>
      </c>
      <c r="I8" s="566" t="n">
        <v>9</v>
      </c>
      <c r="J8" s="567" t="n">
        <f aca="false">ROUND(C8/I8,0)</f>
        <v>4000</v>
      </c>
    </row>
    <row r="9" customFormat="false" ht="16.5" hidden="false" customHeight="true" outlineLevel="0" collapsed="false">
      <c r="B9" s="113" t="s">
        <v>1884</v>
      </c>
      <c r="C9" s="562" t="n">
        <v>36000</v>
      </c>
      <c r="D9" s="563" t="n">
        <v>693</v>
      </c>
      <c r="E9" s="563" t="n">
        <v>100</v>
      </c>
      <c r="F9" s="564" t="n">
        <v>0.35</v>
      </c>
      <c r="G9" s="128" t="s">
        <v>1885</v>
      </c>
      <c r="H9" s="565" t="s">
        <v>1886</v>
      </c>
      <c r="I9" s="566" t="n">
        <v>1.4</v>
      </c>
      <c r="J9" s="567" t="n">
        <f aca="false">ROUND(C9/I9,0)</f>
        <v>25714</v>
      </c>
    </row>
    <row r="10" customFormat="false" ht="16.5" hidden="false" customHeight="true" outlineLevel="0" collapsed="false">
      <c r="B10" s="113" t="s">
        <v>1887</v>
      </c>
      <c r="C10" s="562" t="n">
        <v>48000</v>
      </c>
      <c r="D10" s="563" t="n">
        <v>923</v>
      </c>
      <c r="E10" s="563" t="n">
        <v>132</v>
      </c>
      <c r="F10" s="564" t="n">
        <v>0.65</v>
      </c>
      <c r="G10" s="128" t="s">
        <v>1888</v>
      </c>
      <c r="H10" s="565" t="s">
        <v>1889</v>
      </c>
      <c r="I10" s="566" t="n">
        <v>1.4</v>
      </c>
      <c r="J10" s="567" t="n">
        <f aca="false">ROUND(C10/I10,0)</f>
        <v>34286</v>
      </c>
    </row>
    <row r="11" customFormat="false" ht="48.75" hidden="false" customHeight="true" outlineLevel="0" collapsed="false">
      <c r="B11" s="113" t="s">
        <v>1890</v>
      </c>
      <c r="C11" s="562" t="n">
        <v>2340</v>
      </c>
      <c r="D11" s="563" t="n">
        <v>45</v>
      </c>
      <c r="E11" s="563" t="n">
        <v>7</v>
      </c>
      <c r="F11" s="564" t="n">
        <v>0.3</v>
      </c>
      <c r="G11" s="128" t="s">
        <v>1891</v>
      </c>
      <c r="H11" s="565" t="s">
        <v>1892</v>
      </c>
      <c r="I11" s="566" t="n">
        <v>1.3</v>
      </c>
      <c r="J11" s="567" t="n">
        <f aca="false">ROUND(C11/I11,0)</f>
        <v>1800</v>
      </c>
    </row>
    <row r="12" customFormat="false" ht="16.5" hidden="false" customHeight="true" outlineLevel="0" collapsed="false">
      <c r="B12" s="113" t="s">
        <v>1893</v>
      </c>
      <c r="C12" s="562" t="n">
        <v>90000</v>
      </c>
      <c r="D12" s="563" t="n">
        <v>1731</v>
      </c>
      <c r="E12" s="563" t="n">
        <v>247</v>
      </c>
      <c r="F12" s="564" t="n">
        <v>1</v>
      </c>
      <c r="G12" s="128" t="s">
        <v>1894</v>
      </c>
      <c r="H12" s="565" t="s">
        <v>1895</v>
      </c>
      <c r="I12" s="566" t="n">
        <v>9</v>
      </c>
      <c r="J12" s="567" t="n">
        <f aca="false">ROUND(C12/I12,0)</f>
        <v>10000</v>
      </c>
    </row>
    <row r="13" customFormat="false" ht="16.5" hidden="false" customHeight="true" outlineLevel="0" collapsed="false">
      <c r="B13" s="113" t="s">
        <v>1896</v>
      </c>
      <c r="C13" s="562" t="n">
        <v>18000</v>
      </c>
      <c r="D13" s="563" t="n">
        <v>346</v>
      </c>
      <c r="E13" s="563" t="n">
        <v>50</v>
      </c>
      <c r="F13" s="564" t="n">
        <v>1</v>
      </c>
      <c r="G13" s="128" t="s">
        <v>1897</v>
      </c>
      <c r="H13" s="565" t="s">
        <v>1895</v>
      </c>
      <c r="I13" s="568" t="s">
        <v>672</v>
      </c>
      <c r="J13" s="568" t="s">
        <v>672</v>
      </c>
    </row>
    <row r="14" customFormat="false" ht="16.5" hidden="false" customHeight="true" outlineLevel="0" collapsed="false">
      <c r="B14" s="113" t="s">
        <v>1898</v>
      </c>
      <c r="C14" s="562" t="n">
        <v>420</v>
      </c>
      <c r="D14" s="563" t="n">
        <v>8</v>
      </c>
      <c r="E14" s="563" t="n">
        <v>1</v>
      </c>
      <c r="F14" s="564" t="n">
        <v>0.5</v>
      </c>
      <c r="G14" s="128" t="s">
        <v>1899</v>
      </c>
      <c r="H14" s="565" t="s">
        <v>1892</v>
      </c>
      <c r="I14" s="568" t="s">
        <v>672</v>
      </c>
      <c r="J14" s="567" t="n">
        <f aca="false">C14</f>
        <v>420</v>
      </c>
    </row>
    <row r="15" customFormat="false" ht="16.5" hidden="false" customHeight="true" outlineLevel="0" collapsed="false">
      <c r="B15" s="113" t="s">
        <v>1900</v>
      </c>
      <c r="C15" s="562" t="n">
        <v>365</v>
      </c>
      <c r="D15" s="563" t="n">
        <v>7</v>
      </c>
      <c r="E15" s="563" t="n">
        <v>1</v>
      </c>
      <c r="F15" s="564" t="n">
        <v>0.3</v>
      </c>
      <c r="G15" s="128" t="s">
        <v>1901</v>
      </c>
      <c r="H15" s="565" t="s">
        <v>1902</v>
      </c>
      <c r="I15" s="568" t="s">
        <v>672</v>
      </c>
      <c r="J15" s="567" t="n">
        <f aca="false">C15</f>
        <v>365</v>
      </c>
    </row>
    <row r="16" customFormat="false" ht="16.5" hidden="false" customHeight="true" outlineLevel="0" collapsed="false">
      <c r="B16" s="113" t="s">
        <v>1903</v>
      </c>
      <c r="C16" s="562" t="n">
        <v>8000</v>
      </c>
      <c r="D16" s="563" t="n">
        <v>154</v>
      </c>
      <c r="E16" s="563" t="n">
        <v>22</v>
      </c>
      <c r="F16" s="564" t="n">
        <v>0.1</v>
      </c>
      <c r="G16" s="128" t="s">
        <v>1904</v>
      </c>
      <c r="H16" s="565" t="s">
        <v>1905</v>
      </c>
      <c r="I16" s="568" t="s">
        <v>672</v>
      </c>
      <c r="J16" s="568" t="s">
        <v>672</v>
      </c>
    </row>
    <row r="17" customFormat="false" ht="24" hidden="false" customHeight="true" outlineLevel="0" collapsed="false">
      <c r="B17" s="117" t="s">
        <v>1906</v>
      </c>
      <c r="C17" s="535" t="n">
        <f aca="false">SUM(C7:C16)</f>
        <v>285925</v>
      </c>
      <c r="D17" s="535" t="n">
        <f aca="false">SUM(D7:D16)</f>
        <v>5500</v>
      </c>
      <c r="E17" s="535" t="n">
        <f aca="false">SUM(E7:E16)</f>
        <v>790</v>
      </c>
      <c r="G17" s="6"/>
      <c r="I17" s="534"/>
      <c r="J17" s="535" t="n">
        <f aca="false">SUM(J7:J16)</f>
        <v>97858</v>
      </c>
      <c r="K17" s="0" t="n">
        <f aca="false">J17/365</f>
        <v>268.104109589041</v>
      </c>
    </row>
    <row r="18" customFormat="false" ht="15" hidden="false" customHeight="true" outlineLevel="0" collapsed="false">
      <c r="B18" s="6"/>
      <c r="G18" s="6"/>
    </row>
    <row r="19" customFormat="false" ht="15" hidden="false" customHeight="true" outlineLevel="0" collapsed="false">
      <c r="B19" s="6"/>
      <c r="G19" s="6"/>
    </row>
    <row r="20" customFormat="false" ht="21.75" hidden="false" customHeight="true" outlineLevel="0" collapsed="false">
      <c r="B20" s="96" t="s">
        <v>1907</v>
      </c>
      <c r="C20" s="96"/>
      <c r="D20" s="96"/>
      <c r="E20" s="96"/>
      <c r="F20" s="96"/>
      <c r="G20" s="96"/>
      <c r="H20" s="96"/>
      <c r="I20" s="96"/>
      <c r="J20" s="96"/>
      <c r="K20" s="96"/>
    </row>
    <row r="21" customFormat="false" ht="120" hidden="false" customHeight="true" outlineLevel="0" collapsed="false">
      <c r="B21" s="569" t="s">
        <v>1908</v>
      </c>
      <c r="C21" s="569"/>
      <c r="D21" s="569"/>
      <c r="E21" s="569"/>
      <c r="F21" s="569"/>
      <c r="G21" s="569"/>
      <c r="H21" s="569"/>
      <c r="I21" s="569"/>
      <c r="J21" s="569"/>
      <c r="K21" s="569"/>
    </row>
    <row r="22" customFormat="false" ht="18" hidden="false" customHeight="true" outlineLevel="0" collapsed="false">
      <c r="B22" s="569"/>
      <c r="C22" s="569"/>
      <c r="D22" s="569"/>
      <c r="E22" s="569"/>
      <c r="F22" s="569"/>
      <c r="G22" s="569"/>
      <c r="H22" s="569"/>
      <c r="I22" s="569"/>
      <c r="J22" s="569"/>
      <c r="K22" s="569"/>
    </row>
    <row r="23" customFormat="false" ht="18" hidden="false" customHeight="true" outlineLevel="0" collapsed="false">
      <c r="B23" s="569"/>
      <c r="C23" s="569"/>
      <c r="D23" s="569"/>
      <c r="E23" s="569"/>
      <c r="F23" s="569"/>
      <c r="G23" s="569"/>
      <c r="H23" s="569"/>
      <c r="I23" s="569"/>
      <c r="J23" s="569"/>
      <c r="K23" s="569"/>
    </row>
    <row r="24" customFormat="false" ht="18" hidden="false" customHeight="true" outlineLevel="0" collapsed="false">
      <c r="B24" s="569"/>
      <c r="C24" s="569"/>
      <c r="D24" s="569"/>
      <c r="E24" s="569"/>
      <c r="F24" s="569"/>
      <c r="G24" s="569"/>
      <c r="H24" s="569"/>
      <c r="I24" s="569"/>
      <c r="J24" s="569"/>
      <c r="K24" s="569"/>
    </row>
    <row r="25" customFormat="false" ht="18" hidden="false" customHeight="true" outlineLevel="0" collapsed="false">
      <c r="B25" s="569"/>
      <c r="C25" s="569"/>
      <c r="D25" s="569"/>
      <c r="E25" s="569"/>
      <c r="F25" s="569"/>
      <c r="G25" s="569"/>
      <c r="H25" s="569"/>
      <c r="I25" s="569"/>
      <c r="J25" s="569"/>
      <c r="K25" s="569"/>
    </row>
    <row r="26" customFormat="false" ht="18" hidden="false" customHeight="true" outlineLevel="0" collapsed="false">
      <c r="B26" s="569"/>
      <c r="C26" s="569"/>
      <c r="D26" s="569"/>
      <c r="E26" s="569"/>
      <c r="F26" s="569"/>
      <c r="G26" s="569"/>
      <c r="H26" s="569"/>
      <c r="I26" s="569"/>
      <c r="J26" s="569"/>
      <c r="K26" s="569"/>
    </row>
    <row r="27" customFormat="false" ht="18" hidden="false" customHeight="true" outlineLevel="0" collapsed="false">
      <c r="B27" s="569"/>
      <c r="C27" s="569"/>
      <c r="D27" s="569"/>
      <c r="E27" s="569"/>
      <c r="F27" s="569"/>
      <c r="G27" s="569"/>
      <c r="H27" s="569"/>
      <c r="I27" s="569"/>
      <c r="J27" s="569"/>
      <c r="K27" s="569"/>
    </row>
    <row r="28" customFormat="false" ht="18" hidden="false" customHeight="true" outlineLevel="0" collapsed="false">
      <c r="B28" s="569"/>
      <c r="C28" s="569"/>
      <c r="D28" s="569"/>
      <c r="E28" s="569"/>
      <c r="F28" s="569"/>
      <c r="G28" s="569"/>
      <c r="H28" s="569"/>
      <c r="I28" s="569"/>
      <c r="J28" s="569"/>
      <c r="K28" s="569"/>
    </row>
    <row r="29" customFormat="false" ht="18" hidden="false" customHeight="true" outlineLevel="0" collapsed="false">
      <c r="B29" s="569"/>
      <c r="C29" s="569"/>
      <c r="D29" s="569"/>
      <c r="E29" s="569"/>
      <c r="F29" s="569"/>
      <c r="G29" s="569"/>
      <c r="H29" s="569"/>
      <c r="I29" s="569"/>
      <c r="J29" s="569"/>
      <c r="K29" s="569"/>
    </row>
    <row r="30" customFormat="false" ht="18" hidden="false" customHeight="true" outlineLevel="0" collapsed="false">
      <c r="B30" s="569"/>
      <c r="C30" s="569"/>
      <c r="D30" s="569"/>
      <c r="E30" s="569"/>
      <c r="F30" s="569"/>
      <c r="G30" s="569"/>
      <c r="H30" s="569"/>
      <c r="I30" s="569"/>
      <c r="J30" s="569"/>
      <c r="K30" s="569"/>
    </row>
  </sheetData>
  <mergeCells count="6">
    <mergeCell ref="B2:G2"/>
    <mergeCell ref="H2:K2"/>
    <mergeCell ref="B3:K3"/>
    <mergeCell ref="B5:K5"/>
    <mergeCell ref="B20:K20"/>
    <mergeCell ref="B21:K30"/>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6"/>
    <col collapsed="false" customWidth="true" hidden="false" outlineLevel="0" max="6" min="6" style="0" width="23"/>
    <col collapsed="false" customWidth="true" hidden="false" outlineLevel="0" max="7" min="7" style="0" width="9"/>
    <col collapsed="false" customWidth="true" hidden="false" outlineLevel="0" max="8" min="8" style="0" width="20"/>
    <col collapsed="false" customWidth="true" hidden="false" outlineLevel="0" max="11" min="9" style="0" width="9"/>
  </cols>
  <sheetData>
    <row r="1" customFormat="false" ht="3.75" hidden="false" customHeight="true" outlineLevel="0" collapsed="false">
      <c r="B1" s="1"/>
      <c r="C1" s="2"/>
      <c r="D1" s="2"/>
      <c r="E1" s="1"/>
      <c r="F1" s="1"/>
      <c r="G1" s="2"/>
      <c r="H1" s="2"/>
      <c r="I1" s="2"/>
      <c r="J1" s="2"/>
      <c r="K1" s="2"/>
    </row>
    <row r="2" customFormat="false" ht="27.75" hidden="false" customHeight="true" outlineLevel="0" collapsed="false">
      <c r="B2" s="88" t="s">
        <v>1909</v>
      </c>
      <c r="C2" s="88"/>
      <c r="D2" s="88"/>
      <c r="E2" s="88"/>
      <c r="F2" s="88"/>
      <c r="G2" s="88"/>
      <c r="H2" s="89" t="s">
        <v>198</v>
      </c>
      <c r="I2" s="89"/>
      <c r="J2" s="89"/>
      <c r="K2" s="89"/>
    </row>
    <row r="3" customFormat="false" ht="33.75" hidden="false" customHeight="true" outlineLevel="0" collapsed="false">
      <c r="B3" s="90" t="s">
        <v>1910</v>
      </c>
      <c r="C3" s="90"/>
      <c r="D3" s="90"/>
      <c r="E3" s="90"/>
      <c r="F3" s="90"/>
      <c r="G3" s="90"/>
      <c r="H3" s="90"/>
      <c r="I3" s="90"/>
      <c r="J3" s="90"/>
      <c r="K3" s="90"/>
    </row>
    <row r="4" customFormat="false" ht="15" hidden="false" customHeight="true" outlineLevel="0" collapsed="false">
      <c r="B4" s="6"/>
      <c r="E4" s="6"/>
      <c r="F4" s="6"/>
    </row>
    <row r="5" customFormat="false" ht="33.75" hidden="false" customHeight="true" outlineLevel="0" collapsed="false">
      <c r="B5" s="96" t="s">
        <v>1911</v>
      </c>
      <c r="C5" s="96"/>
      <c r="D5" s="96"/>
      <c r="E5" s="96"/>
      <c r="F5" s="96"/>
      <c r="G5" s="96"/>
      <c r="H5" s="96"/>
      <c r="I5" s="96"/>
      <c r="J5" s="96"/>
      <c r="K5" s="96"/>
    </row>
    <row r="6" customFormat="false" ht="21.75" hidden="false" customHeight="true" outlineLevel="0" collapsed="false">
      <c r="B6" s="97" t="s">
        <v>1912</v>
      </c>
      <c r="C6" s="551" t="s">
        <v>1527</v>
      </c>
      <c r="D6" s="98" t="s">
        <v>1913</v>
      </c>
      <c r="E6" s="99" t="s">
        <v>1914</v>
      </c>
      <c r="F6" s="97" t="s">
        <v>778</v>
      </c>
    </row>
    <row r="7" customFormat="false" ht="15.75" hidden="false" customHeight="true" outlineLevel="0" collapsed="false">
      <c r="B7" s="81" t="s">
        <v>1915</v>
      </c>
      <c r="C7" s="570" t="s">
        <v>217</v>
      </c>
      <c r="D7" s="571" t="n">
        <v>357178</v>
      </c>
      <c r="E7" s="572" t="n">
        <v>0.049476859416669</v>
      </c>
      <c r="F7" s="128" t="s">
        <v>1916</v>
      </c>
    </row>
    <row r="8" customFormat="false" ht="15.75" hidden="false" customHeight="true" outlineLevel="0" collapsed="false">
      <c r="B8" s="113" t="s">
        <v>1915</v>
      </c>
      <c r="C8" s="570" t="s">
        <v>151</v>
      </c>
      <c r="D8" s="571" t="n">
        <v>547486</v>
      </c>
      <c r="E8" s="572" t="n">
        <v>0.0758386234723148</v>
      </c>
      <c r="F8" s="128" t="s">
        <v>1917</v>
      </c>
    </row>
    <row r="9" customFormat="false" ht="15.75" hidden="false" customHeight="true" outlineLevel="0" collapsed="false">
      <c r="B9" s="81" t="s">
        <v>1918</v>
      </c>
      <c r="C9" s="570" t="s">
        <v>219</v>
      </c>
      <c r="D9" s="571" t="n">
        <v>50400</v>
      </c>
      <c r="E9" s="572" t="n">
        <v>0.00698148742251796</v>
      </c>
      <c r="F9" s="128" t="s">
        <v>1919</v>
      </c>
    </row>
    <row r="10" customFormat="false" ht="15.75" hidden="false" customHeight="true" outlineLevel="0" collapsed="false">
      <c r="B10" s="113" t="s">
        <v>1918</v>
      </c>
      <c r="C10" s="570" t="s">
        <v>145</v>
      </c>
      <c r="D10" s="571" t="n">
        <v>25200</v>
      </c>
      <c r="E10" s="572" t="n">
        <v>0.00349074371125898</v>
      </c>
      <c r="F10" s="128" t="s">
        <v>1920</v>
      </c>
    </row>
    <row r="11" customFormat="false" ht="15.75" hidden="false" customHeight="true" outlineLevel="0" collapsed="false">
      <c r="B11" s="81" t="s">
        <v>1921</v>
      </c>
      <c r="C11" s="570" t="s">
        <v>219</v>
      </c>
      <c r="D11" s="571" t="n">
        <v>428724</v>
      </c>
      <c r="E11" s="572" t="n">
        <v>0.059387524081976</v>
      </c>
      <c r="F11" s="128" t="s">
        <v>1922</v>
      </c>
    </row>
    <row r="12" customFormat="false" ht="15.75" hidden="false" customHeight="true" outlineLevel="0" collapsed="false">
      <c r="B12" s="113" t="s">
        <v>1921</v>
      </c>
      <c r="C12" s="570" t="s">
        <v>217</v>
      </c>
      <c r="D12" s="571" t="n">
        <v>491360</v>
      </c>
      <c r="E12" s="572" t="n">
        <v>0.0680639615065163</v>
      </c>
      <c r="F12" s="128" t="s">
        <v>1923</v>
      </c>
    </row>
    <row r="13" customFormat="false" ht="15.75" hidden="false" customHeight="true" outlineLevel="0" collapsed="false">
      <c r="B13" s="81" t="s">
        <v>1924</v>
      </c>
      <c r="C13" s="570" t="s">
        <v>218</v>
      </c>
      <c r="D13" s="571" t="n">
        <v>1944000</v>
      </c>
      <c r="E13" s="572" t="n">
        <v>0.269285943439978</v>
      </c>
      <c r="F13" s="128" t="s">
        <v>1925</v>
      </c>
    </row>
    <row r="14" customFormat="false" ht="15.75" hidden="false" customHeight="true" outlineLevel="0" collapsed="false">
      <c r="B14" s="113" t="s">
        <v>1924</v>
      </c>
      <c r="C14" s="570" t="s">
        <v>145</v>
      </c>
      <c r="D14" s="571" t="n">
        <v>18000</v>
      </c>
      <c r="E14" s="572" t="n">
        <v>0.00249338836518498</v>
      </c>
      <c r="F14" s="128" t="s">
        <v>1926</v>
      </c>
    </row>
    <row r="15" customFormat="false" ht="15.75" hidden="false" customHeight="true" outlineLevel="0" collapsed="false">
      <c r="B15" s="81" t="s">
        <v>1927</v>
      </c>
      <c r="C15" s="570" t="s">
        <v>145</v>
      </c>
      <c r="D15" s="571" t="n">
        <v>60840</v>
      </c>
      <c r="E15" s="572" t="n">
        <v>0.00842765267432525</v>
      </c>
      <c r="F15" s="128" t="s">
        <v>1928</v>
      </c>
    </row>
    <row r="16" customFormat="false" ht="15.75" hidden="false" customHeight="true" outlineLevel="0" collapsed="false">
      <c r="B16" s="81" t="s">
        <v>1929</v>
      </c>
      <c r="C16" s="570" t="s">
        <v>143</v>
      </c>
      <c r="D16" s="571" t="n">
        <v>1515459</v>
      </c>
      <c r="E16" s="572" t="n">
        <v>0.209923768806382</v>
      </c>
      <c r="F16" s="128" t="s">
        <v>1930</v>
      </c>
    </row>
    <row r="17" customFormat="false" ht="15.75" hidden="false" customHeight="true" outlineLevel="0" collapsed="false">
      <c r="B17" s="81" t="s">
        <v>1931</v>
      </c>
      <c r="C17" s="570" t="s">
        <v>145</v>
      </c>
      <c r="D17" s="571" t="n">
        <v>260910</v>
      </c>
      <c r="E17" s="572" t="n">
        <v>0.0361416643533564</v>
      </c>
      <c r="F17" s="128" t="s">
        <v>1932</v>
      </c>
    </row>
    <row r="18" customFormat="false" ht="15.75" hidden="false" customHeight="true" outlineLevel="0" collapsed="false">
      <c r="B18" s="113" t="s">
        <v>1931</v>
      </c>
      <c r="C18" s="570" t="s">
        <v>145</v>
      </c>
      <c r="D18" s="571" t="n">
        <v>396000</v>
      </c>
      <c r="E18" s="572" t="n">
        <v>0.0548545440340697</v>
      </c>
      <c r="F18" s="128" t="s">
        <v>1933</v>
      </c>
    </row>
    <row r="19" customFormat="false" ht="15.75" hidden="false" customHeight="true" outlineLevel="0" collapsed="false">
      <c r="B19" s="113" t="s">
        <v>1931</v>
      </c>
      <c r="C19" s="570" t="s">
        <v>145</v>
      </c>
      <c r="D19" s="571" t="n">
        <v>23400</v>
      </c>
      <c r="E19" s="572" t="n">
        <v>0.00324140487474048</v>
      </c>
      <c r="F19" s="128" t="s">
        <v>1934</v>
      </c>
    </row>
    <row r="20" customFormat="false" ht="15.75" hidden="false" customHeight="true" outlineLevel="0" collapsed="false">
      <c r="B20" s="113" t="s">
        <v>1931</v>
      </c>
      <c r="C20" s="570" t="s">
        <v>145</v>
      </c>
      <c r="D20" s="571" t="n">
        <v>98400</v>
      </c>
      <c r="E20" s="572" t="n">
        <v>0.0136305230630113</v>
      </c>
      <c r="F20" s="128" t="s">
        <v>1935</v>
      </c>
    </row>
    <row r="21" customFormat="false" ht="15.75" hidden="false" customHeight="true" outlineLevel="0" collapsed="false">
      <c r="B21" s="113" t="s">
        <v>1931</v>
      </c>
      <c r="C21" s="570" t="s">
        <v>155</v>
      </c>
      <c r="D21" s="571" t="n">
        <v>72000</v>
      </c>
      <c r="E21" s="572" t="n">
        <v>0.00997355346073994</v>
      </c>
      <c r="F21" s="128" t="s">
        <v>1936</v>
      </c>
    </row>
    <row r="22" customFormat="false" ht="15.75" hidden="false" customHeight="true" outlineLevel="0" collapsed="false">
      <c r="B22" s="81" t="s">
        <v>1937</v>
      </c>
      <c r="C22" s="570" t="s">
        <v>153</v>
      </c>
      <c r="D22" s="571" t="n">
        <v>432500</v>
      </c>
      <c r="E22" s="572" t="n">
        <v>0.0599105815523614</v>
      </c>
      <c r="F22" s="128" t="s">
        <v>1938</v>
      </c>
    </row>
    <row r="23" customFormat="false" ht="15.75" hidden="false" customHeight="true" outlineLevel="0" collapsed="false">
      <c r="B23" s="81" t="s">
        <v>1939</v>
      </c>
      <c r="C23" s="570" t="s">
        <v>157</v>
      </c>
      <c r="D23" s="571" t="n">
        <v>121900</v>
      </c>
      <c r="E23" s="572" t="n">
        <v>0.0168857800953361</v>
      </c>
      <c r="F23" s="128" t="s">
        <v>1940</v>
      </c>
    </row>
    <row r="24" customFormat="false" ht="15.75" hidden="false" customHeight="true" outlineLevel="0" collapsed="false">
      <c r="B24" s="81" t="s">
        <v>1941</v>
      </c>
      <c r="C24" s="570" t="s">
        <v>155</v>
      </c>
      <c r="D24" s="571" t="n">
        <v>36000</v>
      </c>
      <c r="E24" s="572" t="n">
        <v>0.00498677673036997</v>
      </c>
      <c r="F24" s="128" t="s">
        <v>1942</v>
      </c>
    </row>
    <row r="25" customFormat="false" ht="15.75" hidden="false" customHeight="true" outlineLevel="0" collapsed="false">
      <c r="B25" s="81" t="s">
        <v>1943</v>
      </c>
      <c r="C25" s="570" t="s">
        <v>155</v>
      </c>
      <c r="D25" s="571" t="n">
        <v>140000</v>
      </c>
      <c r="E25" s="572" t="n">
        <v>0.0193930206181054</v>
      </c>
      <c r="F25" s="128" t="s">
        <v>1944</v>
      </c>
    </row>
    <row r="26" customFormat="false" ht="15.75" hidden="false" customHeight="true" outlineLevel="0" collapsed="false">
      <c r="B26" s="81" t="s">
        <v>1945</v>
      </c>
      <c r="C26" s="570" t="s">
        <v>219</v>
      </c>
      <c r="D26" s="571" t="n">
        <v>120000</v>
      </c>
      <c r="E26" s="572" t="n">
        <v>0.0166225891012332</v>
      </c>
      <c r="F26" s="128" t="s">
        <v>1946</v>
      </c>
    </row>
    <row r="27" customFormat="false" ht="15.75" hidden="false" customHeight="true" outlineLevel="0" collapsed="false">
      <c r="B27" s="81" t="s">
        <v>1947</v>
      </c>
      <c r="C27" s="570" t="s">
        <v>219</v>
      </c>
      <c r="D27" s="571" t="n">
        <v>42336</v>
      </c>
      <c r="E27" s="572" t="n">
        <v>0.00586444943491508</v>
      </c>
      <c r="F27" s="128" t="s">
        <v>1948</v>
      </c>
    </row>
    <row r="28" customFormat="false" ht="15.75" hidden="false" customHeight="true" outlineLevel="0" collapsed="false">
      <c r="B28" s="81" t="s">
        <v>1949</v>
      </c>
      <c r="C28" s="570" t="s">
        <v>1950</v>
      </c>
      <c r="D28" s="573" t="s">
        <v>1951</v>
      </c>
      <c r="E28" s="6"/>
      <c r="F28" s="128" t="s">
        <v>1952</v>
      </c>
    </row>
    <row r="29" customFormat="false" ht="15" hidden="false" customHeight="true" outlineLevel="0" collapsed="false">
      <c r="B29" s="6"/>
      <c r="E29" s="6"/>
      <c r="F29" s="6"/>
    </row>
    <row r="30" customFormat="false" ht="15" hidden="false" customHeight="true" outlineLevel="0" collapsed="false">
      <c r="B30" s="6"/>
      <c r="E30" s="6"/>
      <c r="F30" s="6"/>
    </row>
    <row r="31" customFormat="false" ht="15" hidden="false" customHeight="true" outlineLevel="0" collapsed="false">
      <c r="B31" s="6"/>
      <c r="E31" s="6"/>
      <c r="F31" s="6"/>
    </row>
    <row r="32" customFormat="false" ht="21.75" hidden="false" customHeight="true" outlineLevel="0" collapsed="false">
      <c r="B32" s="96" t="s">
        <v>1953</v>
      </c>
      <c r="C32" s="96"/>
      <c r="D32" s="96"/>
      <c r="E32" s="96"/>
      <c r="F32" s="96"/>
      <c r="G32" s="96"/>
      <c r="H32" s="96"/>
      <c r="I32" s="96"/>
      <c r="J32" s="96"/>
      <c r="K32" s="96"/>
    </row>
    <row r="33" customFormat="false" ht="120" hidden="false" customHeight="true" outlineLevel="0" collapsed="false">
      <c r="B33" s="574" t="s">
        <v>1954</v>
      </c>
      <c r="C33" s="574"/>
      <c r="D33" s="574"/>
      <c r="E33" s="574"/>
      <c r="F33" s="574"/>
    </row>
    <row r="34" customFormat="false" ht="15" hidden="false" customHeight="true" outlineLevel="0" collapsed="false">
      <c r="B34" s="574"/>
      <c r="C34" s="574"/>
      <c r="D34" s="574"/>
      <c r="E34" s="574"/>
      <c r="F34" s="574"/>
    </row>
    <row r="35" customFormat="false" ht="15" hidden="false" customHeight="true" outlineLevel="0" collapsed="false">
      <c r="B35" s="574"/>
      <c r="C35" s="574"/>
      <c r="D35" s="574"/>
      <c r="E35" s="574"/>
      <c r="F35" s="574"/>
    </row>
    <row r="36" customFormat="false" ht="15" hidden="false" customHeight="true" outlineLevel="0" collapsed="false">
      <c r="B36" s="574"/>
      <c r="C36" s="574"/>
      <c r="D36" s="574"/>
      <c r="E36" s="574"/>
      <c r="F36" s="574"/>
    </row>
  </sheetData>
  <mergeCells count="6">
    <mergeCell ref="B2:G2"/>
    <mergeCell ref="H2:K2"/>
    <mergeCell ref="B3:K3"/>
    <mergeCell ref="B5:K5"/>
    <mergeCell ref="B32:K32"/>
    <mergeCell ref="B33:F36"/>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H21" activeCellId="0" sqref="H2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5" min="5" style="0" width="13.34"/>
    <col collapsed="false" customWidth="true" hidden="false" outlineLevel="0" max="6" min="6" style="0" width="39.16"/>
    <col collapsed="false" customWidth="true" hidden="false" outlineLevel="0" max="7" min="7" style="0" width="22"/>
    <col collapsed="false" customWidth="true" hidden="false" outlineLevel="0" max="8" min="8" style="0" width="20"/>
    <col collapsed="false" customWidth="true" hidden="false" outlineLevel="0" max="11" min="9" style="0" width="9"/>
  </cols>
  <sheetData>
    <row r="1" customFormat="false" ht="3.75" hidden="false" customHeight="true" outlineLevel="0" collapsed="false">
      <c r="B1" s="1"/>
      <c r="C1" s="2"/>
      <c r="D1" s="2"/>
      <c r="E1" s="1"/>
      <c r="F1" s="2"/>
      <c r="G1" s="2"/>
      <c r="H1" s="2"/>
      <c r="I1" s="2"/>
      <c r="J1" s="2"/>
      <c r="K1" s="2"/>
    </row>
    <row r="2" customFormat="false" ht="27.75" hidden="false" customHeight="true" outlineLevel="0" collapsed="false">
      <c r="B2" s="15" t="s">
        <v>1955</v>
      </c>
      <c r="C2" s="15"/>
      <c r="D2" s="15"/>
      <c r="E2" s="15"/>
      <c r="F2" s="15"/>
      <c r="G2" s="15"/>
      <c r="H2" s="89" t="s">
        <v>198</v>
      </c>
      <c r="I2" s="89"/>
      <c r="J2" s="89"/>
      <c r="K2" s="89"/>
    </row>
    <row r="3" customFormat="false" ht="33.75" hidden="false" customHeight="true" outlineLevel="0" collapsed="false">
      <c r="B3" s="529" t="s">
        <v>1956</v>
      </c>
      <c r="C3" s="529"/>
      <c r="D3" s="529"/>
      <c r="E3" s="529"/>
      <c r="F3" s="529"/>
      <c r="G3" s="529"/>
      <c r="H3" s="529"/>
      <c r="I3" s="529"/>
      <c r="J3" s="529"/>
      <c r="K3" s="529"/>
    </row>
    <row r="4" customFormat="false" ht="15" hidden="false" customHeight="true" outlineLevel="0" collapsed="false">
      <c r="B4" s="6"/>
      <c r="E4" s="6"/>
    </row>
    <row r="5" customFormat="false" ht="21.75" hidden="false" customHeight="true" outlineLevel="0" collapsed="false">
      <c r="B5" s="575" t="s">
        <v>1957</v>
      </c>
      <c r="C5" s="575"/>
      <c r="D5" s="575"/>
      <c r="E5" s="575"/>
      <c r="F5" s="575"/>
      <c r="G5" s="575"/>
      <c r="H5" s="575"/>
      <c r="I5" s="575"/>
      <c r="J5" s="575"/>
      <c r="K5" s="575"/>
    </row>
    <row r="6" customFormat="false" ht="21.75" hidden="false" customHeight="true" outlineLevel="0" collapsed="false">
      <c r="B6" s="97" t="s">
        <v>666</v>
      </c>
      <c r="C6" s="98" t="s">
        <v>1531</v>
      </c>
      <c r="D6" s="98" t="s">
        <v>1958</v>
      </c>
      <c r="E6" s="99" t="s">
        <v>1306</v>
      </c>
      <c r="F6" s="98" t="s">
        <v>1913</v>
      </c>
      <c r="G6" s="551" t="s">
        <v>778</v>
      </c>
    </row>
    <row r="7" customFormat="false" ht="18" hidden="false" customHeight="true" outlineLevel="0" collapsed="false">
      <c r="B7" s="81" t="s">
        <v>1959</v>
      </c>
      <c r="C7" s="568" t="s">
        <v>1960</v>
      </c>
      <c r="D7" s="568" t="s">
        <v>1961</v>
      </c>
      <c r="E7" s="576" t="s">
        <v>1962</v>
      </c>
      <c r="F7" s="577" t="n">
        <v>36000</v>
      </c>
      <c r="G7" s="565" t="s">
        <v>1963</v>
      </c>
    </row>
    <row r="8" customFormat="false" ht="18" hidden="false" customHeight="true" outlineLevel="0" collapsed="false">
      <c r="B8" s="81" t="s">
        <v>1964</v>
      </c>
      <c r="C8" s="568" t="s">
        <v>1965</v>
      </c>
      <c r="D8" s="568" t="s">
        <v>1966</v>
      </c>
      <c r="E8" s="576" t="s">
        <v>1967</v>
      </c>
      <c r="F8" s="577" t="n">
        <v>72000</v>
      </c>
      <c r="G8" s="565" t="s">
        <v>1968</v>
      </c>
    </row>
    <row r="9" customFormat="false" ht="18" hidden="false" customHeight="true" outlineLevel="0" collapsed="false">
      <c r="B9" s="81" t="s">
        <v>1969</v>
      </c>
      <c r="C9" s="568" t="s">
        <v>1970</v>
      </c>
      <c r="D9" s="568" t="s">
        <v>1971</v>
      </c>
      <c r="E9" s="576" t="s">
        <v>672</v>
      </c>
      <c r="F9" s="577" t="n">
        <v>140000</v>
      </c>
      <c r="G9" s="565" t="s">
        <v>1972</v>
      </c>
    </row>
    <row r="10" customFormat="false" ht="18" hidden="false" customHeight="true" outlineLevel="0" collapsed="false">
      <c r="B10" s="81" t="s">
        <v>1973</v>
      </c>
      <c r="C10" s="568" t="s">
        <v>1974</v>
      </c>
      <c r="D10" s="568" t="s">
        <v>1975</v>
      </c>
      <c r="E10" s="576" t="s">
        <v>1976</v>
      </c>
      <c r="F10" s="577" t="n">
        <v>37000</v>
      </c>
      <c r="G10" s="565" t="s">
        <v>1977</v>
      </c>
    </row>
    <row r="11" customFormat="false" ht="15" hidden="false" customHeight="true" outlineLevel="0" collapsed="false">
      <c r="B11" s="6"/>
      <c r="E11" s="6"/>
    </row>
    <row r="12" customFormat="false" ht="25.5" hidden="false" customHeight="true" outlineLevel="0" collapsed="false">
      <c r="B12" s="117" t="s">
        <v>1978</v>
      </c>
      <c r="E12" s="6"/>
      <c r="F12" s="578" t="n">
        <f aca="false">SUM(F7:F10)</f>
        <v>285000</v>
      </c>
    </row>
    <row r="13" customFormat="false" ht="15" hidden="false" customHeight="true" outlineLevel="0" collapsed="false">
      <c r="B13" s="6"/>
      <c r="E13" s="6"/>
    </row>
    <row r="14" customFormat="false" ht="15" hidden="false" customHeight="true" outlineLevel="0" collapsed="false">
      <c r="B14" s="6"/>
      <c r="E14" s="6"/>
    </row>
    <row r="15" customFormat="false" ht="33.75" hidden="false" customHeight="true" outlineLevel="0" collapsed="false">
      <c r="B15" s="72" t="s">
        <v>1979</v>
      </c>
      <c r="C15" s="72"/>
      <c r="D15" s="72"/>
      <c r="E15" s="72"/>
      <c r="F15" s="72"/>
      <c r="G15" s="72"/>
      <c r="H15" s="72"/>
      <c r="I15" s="72"/>
      <c r="J15" s="72"/>
      <c r="K15" s="72"/>
    </row>
    <row r="16" customFormat="false" ht="15" hidden="false" customHeight="true" outlineLevel="0" collapsed="false">
      <c r="B16" s="97" t="s">
        <v>666</v>
      </c>
      <c r="C16" s="98" t="s">
        <v>1980</v>
      </c>
      <c r="D16" s="98" t="s">
        <v>1981</v>
      </c>
      <c r="E16" s="99" t="s">
        <v>1982</v>
      </c>
      <c r="F16" s="551" t="s">
        <v>1983</v>
      </c>
    </row>
    <row r="17" customFormat="false" ht="16.5" hidden="false" customHeight="true" outlineLevel="0" collapsed="false">
      <c r="B17" s="113" t="s">
        <v>1984</v>
      </c>
      <c r="C17" s="571" t="n">
        <v>36000</v>
      </c>
      <c r="D17" s="579" t="n">
        <v>130000</v>
      </c>
      <c r="E17" s="580" t="s">
        <v>1985</v>
      </c>
      <c r="F17" s="565" t="s">
        <v>1986</v>
      </c>
    </row>
    <row r="18" customFormat="false" ht="16.5" hidden="false" customHeight="true" outlineLevel="0" collapsed="false">
      <c r="B18" s="113" t="s">
        <v>1987</v>
      </c>
      <c r="C18" s="571" t="n">
        <v>72000</v>
      </c>
      <c r="D18" s="579" t="n">
        <v>260000</v>
      </c>
      <c r="E18" s="580" t="s">
        <v>1985</v>
      </c>
      <c r="F18" s="565" t="s">
        <v>1988</v>
      </c>
    </row>
    <row r="19" customFormat="false" ht="16.5" hidden="false" customHeight="true" outlineLevel="0" collapsed="false">
      <c r="B19" s="113" t="s">
        <v>1989</v>
      </c>
      <c r="C19" s="571" t="n">
        <v>140000</v>
      </c>
      <c r="D19" s="579" t="n">
        <v>600000</v>
      </c>
      <c r="E19" s="580" t="s">
        <v>1990</v>
      </c>
      <c r="F19" s="565" t="s">
        <v>1991</v>
      </c>
    </row>
    <row r="20" customFormat="false" ht="16.5" hidden="false" customHeight="true" outlineLevel="0" collapsed="false">
      <c r="B20" s="113" t="s">
        <v>1992</v>
      </c>
      <c r="C20" s="571" t="n">
        <v>37000</v>
      </c>
      <c r="D20" s="579" t="n">
        <v>90000</v>
      </c>
      <c r="E20" s="580" t="s">
        <v>1993</v>
      </c>
      <c r="F20" s="565" t="s">
        <v>1994</v>
      </c>
    </row>
    <row r="21" customFormat="false" ht="15" hidden="false" customHeight="true" outlineLevel="0" collapsed="false">
      <c r="B21" s="6"/>
      <c r="E21" s="6"/>
    </row>
    <row r="22" customFormat="false" ht="25.5" hidden="false" customHeight="true" outlineLevel="0" collapsed="false">
      <c r="B22" s="117" t="s">
        <v>1995</v>
      </c>
      <c r="C22" s="406" t="n">
        <f aca="false">SUM(C17:C20)</f>
        <v>285000</v>
      </c>
      <c r="D22" s="581" t="n">
        <f aca="false">SUM(D17:D20)</f>
        <v>1080000</v>
      </c>
      <c r="E22" s="582" t="n">
        <f aca="false">D22/C22</f>
        <v>3.78947368421053</v>
      </c>
    </row>
    <row r="23" customFormat="false" ht="15" hidden="false" customHeight="true" outlineLevel="0" collapsed="false">
      <c r="B23" s="6"/>
      <c r="E23" s="6"/>
    </row>
    <row r="24" customFormat="false" ht="15" hidden="false" customHeight="true" outlineLevel="0" collapsed="false">
      <c r="B24" s="6"/>
      <c r="E24" s="6"/>
    </row>
    <row r="25" customFormat="false" ht="21.75" hidden="false" customHeight="true" outlineLevel="0" collapsed="false">
      <c r="B25" s="72" t="s">
        <v>1996</v>
      </c>
      <c r="C25" s="72"/>
      <c r="D25" s="72"/>
      <c r="E25" s="72"/>
      <c r="F25" s="72"/>
      <c r="G25" s="72"/>
      <c r="H25" s="72"/>
      <c r="I25" s="72"/>
      <c r="J25" s="72"/>
      <c r="K25" s="72"/>
    </row>
    <row r="26" customFormat="false" ht="120" hidden="false" customHeight="true" outlineLevel="0" collapsed="false">
      <c r="B26" s="583" t="s">
        <v>1997</v>
      </c>
      <c r="C26" s="583"/>
      <c r="D26" s="583"/>
      <c r="E26" s="583"/>
      <c r="F26" s="583"/>
      <c r="G26" s="583"/>
    </row>
    <row r="27" customFormat="false" ht="15" hidden="false" customHeight="true" outlineLevel="0" collapsed="false">
      <c r="B27" s="583"/>
      <c r="C27" s="583"/>
      <c r="D27" s="583"/>
      <c r="E27" s="583"/>
      <c r="F27" s="583"/>
      <c r="G27" s="583"/>
    </row>
    <row r="28" customFormat="false" ht="15" hidden="false" customHeight="true" outlineLevel="0" collapsed="false">
      <c r="B28" s="583"/>
      <c r="C28" s="583"/>
      <c r="D28" s="583"/>
      <c r="E28" s="583"/>
      <c r="F28" s="583"/>
      <c r="G28" s="583"/>
    </row>
    <row r="29" customFormat="false" ht="15" hidden="false" customHeight="true" outlineLevel="0" collapsed="false">
      <c r="B29" s="583"/>
      <c r="C29" s="583"/>
      <c r="D29" s="583"/>
      <c r="E29" s="583"/>
      <c r="F29" s="583"/>
      <c r="G29" s="583"/>
    </row>
    <row r="30" customFormat="false" ht="15" hidden="false" customHeight="true" outlineLevel="0" collapsed="false">
      <c r="B30" s="583"/>
      <c r="C30" s="583"/>
      <c r="D30" s="583"/>
      <c r="E30" s="583"/>
      <c r="F30" s="583"/>
      <c r="G30" s="583"/>
    </row>
  </sheetData>
  <mergeCells count="7">
    <mergeCell ref="B2:G2"/>
    <mergeCell ref="H2:K2"/>
    <mergeCell ref="B3:K3"/>
    <mergeCell ref="B5:K5"/>
    <mergeCell ref="B15:K15"/>
    <mergeCell ref="B25:K25"/>
    <mergeCell ref="B26:G30"/>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N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 collapsed="false" customWidth="true" hidden="false" outlineLevel="0" max="12" min="12" style="0" width="27"/>
    <col collapsed="false" customWidth="true" hidden="false" outlineLevel="0" max="13" min="13" style="0" width="11"/>
  </cols>
  <sheetData>
    <row r="1" customFormat="false" ht="3.75" hidden="false" customHeight="true" outlineLevel="0" collapsed="false">
      <c r="B1" s="1"/>
      <c r="C1" s="2"/>
      <c r="D1" s="2"/>
      <c r="E1" s="2"/>
      <c r="F1" s="2"/>
      <c r="G1" s="2"/>
      <c r="H1" s="2"/>
      <c r="I1" s="2"/>
      <c r="J1" s="2"/>
      <c r="K1" s="2"/>
      <c r="L1" s="6"/>
    </row>
    <row r="2" customFormat="false" ht="27.75" hidden="false" customHeight="true" outlineLevel="0" collapsed="false">
      <c r="B2" s="88" t="s">
        <v>1998</v>
      </c>
      <c r="C2" s="88"/>
      <c r="D2" s="88"/>
      <c r="E2" s="88"/>
      <c r="F2" s="88"/>
      <c r="G2" s="88"/>
      <c r="H2" s="89" t="s">
        <v>198</v>
      </c>
      <c r="I2" s="89"/>
      <c r="J2" s="89"/>
      <c r="K2" s="89"/>
      <c r="L2" s="6"/>
    </row>
    <row r="3" customFormat="false" ht="33.75" hidden="false" customHeight="true" outlineLevel="0" collapsed="false">
      <c r="B3" s="90" t="s">
        <v>1999</v>
      </c>
      <c r="C3" s="90"/>
      <c r="D3" s="90"/>
      <c r="E3" s="90"/>
      <c r="F3" s="90"/>
      <c r="G3" s="90"/>
      <c r="H3" s="90"/>
      <c r="I3" s="90"/>
      <c r="J3" s="90"/>
      <c r="K3" s="90"/>
      <c r="L3" s="6"/>
    </row>
    <row r="4" customFormat="false" ht="15" hidden="false" customHeight="true" outlineLevel="0" collapsed="false">
      <c r="B4" s="6"/>
      <c r="L4" s="6"/>
    </row>
    <row r="5" customFormat="false" ht="33.75" hidden="false" customHeight="true" outlineLevel="0" collapsed="false">
      <c r="B5" s="555" t="s">
        <v>2000</v>
      </c>
      <c r="C5" s="555"/>
      <c r="D5" s="555"/>
      <c r="E5" s="555"/>
      <c r="F5" s="555"/>
      <c r="G5" s="555"/>
      <c r="H5" s="555"/>
      <c r="I5" s="555"/>
      <c r="J5" s="555"/>
      <c r="K5" s="555"/>
      <c r="L5" s="6"/>
      <c r="N5" s="584" t="s">
        <v>2001</v>
      </c>
    </row>
    <row r="6" customFormat="false" ht="21.75" hidden="false" customHeight="true" outlineLevel="0" collapsed="false">
      <c r="B6" s="97" t="s">
        <v>136</v>
      </c>
      <c r="C6" s="98" t="s">
        <v>2002</v>
      </c>
      <c r="D6" s="98" t="s">
        <v>2003</v>
      </c>
      <c r="E6" s="98" t="s">
        <v>2004</v>
      </c>
      <c r="F6" s="98" t="s">
        <v>2005</v>
      </c>
      <c r="G6" s="98" t="s">
        <v>2006</v>
      </c>
      <c r="H6" s="98" t="s">
        <v>2007</v>
      </c>
      <c r="I6" s="98" t="s">
        <v>770</v>
      </c>
      <c r="J6" s="98" t="s">
        <v>2008</v>
      </c>
      <c r="K6" s="98" t="s">
        <v>2009</v>
      </c>
      <c r="L6" s="585" t="s">
        <v>2010</v>
      </c>
      <c r="M6" s="586" t="s">
        <v>2011</v>
      </c>
    </row>
    <row r="7" customFormat="false" ht="33.75" hidden="false" customHeight="true" outlineLevel="0" collapsed="false">
      <c r="B7" s="113" t="s">
        <v>217</v>
      </c>
      <c r="C7" s="587" t="n">
        <f aca="false">'Gaming · Scenarios'!C17</f>
        <v>850848.5975</v>
      </c>
      <c r="D7" s="544" t="n">
        <f aca="false">'Gaming · Scenarios'!D17</f>
        <v>1000998.35</v>
      </c>
      <c r="E7" s="588" t="n">
        <f aca="false">'Gaming · Scenarios'!E17</f>
        <v>1101098.185</v>
      </c>
      <c r="F7" s="589" t="n">
        <f aca="false">0.8*IF(MASTER_ASSUMPTIONS!$C$110="INSTITUTIONAL",IF('Exec Summary'!$H$7="Bear",N7*MASTER_ASSUMPTIONS!$C$113,IF('Exec Summary'!$H$7="Bull",N7*MASTER_ASSUMPTIONS!$C$114,N7)),IF('Exec Summary'!$H$7="Bear",C7,IF('Exec Summary'!$H$7="Bull",E7,IF('Exec Summary'!$H$7="Custom",M7,D7))))</f>
        <v>800798.68</v>
      </c>
      <c r="G7" s="589" t="n">
        <f aca="false">0.9*IF(MASTER_ASSUMPTIONS!$C$110="INSTITUTIONAL",IF('Exec Summary'!$H$7="Bear",N7*MASTER_ASSUMPTIONS!$C$113,IF('Exec Summary'!$H$7="Bull",N7*MASTER_ASSUMPTIONS!$C$114,N7)),IF('Exec Summary'!$H$7="Bear",C7,IF('Exec Summary'!$H$7="Bull",E7,IF('Exec Summary'!$H$7="Custom",M7,D7))))</f>
        <v>900898.515</v>
      </c>
      <c r="H7" s="590" t="n">
        <f aca="false">IF(MASTER_ASSUMPTIONS!$C$110="INSTITUTIONAL",IF('Exec Summary'!$H$7="Bear",N7*MASTER_ASSUMPTIONS!$C$113,IF('Exec Summary'!$H$7="Bull",N7*MASTER_ASSUMPTIONS!$C$114,N7)),IF('Exec Summary'!$H$7="Bear",C7,IF('Exec Summary'!$H$7="Bull",E7,IF('Exec Summary'!$H$7="Custom",M7,D7))))</f>
        <v>1000998.35</v>
      </c>
      <c r="I7" s="589" t="n">
        <f aca="false">IF(MASTER_ASSUMPTIONS!$C$110="INSTITUTIONAL",IF('Exec Summary'!$H$7="Bear",N7*MASTER_ASSUMPTIONS!$C$113,IF('Exec Summary'!$H$7="Bull",N7*MASTER_ASSUMPTIONS!$C$114,N7)),IF('Exec Summary'!$H$7="Bear",C7,IF('Exec Summary'!$H$7="Bull",E7,IF('Exec Summary'!$H$7="Custom",M7,D7))))</f>
        <v>1000998.35</v>
      </c>
      <c r="J7" s="589" t="n">
        <f aca="false">1.05*IF(MASTER_ASSUMPTIONS!$C$110="INSTITUTIONAL",IF('Exec Summary'!$H$7="Bear",N7*MASTER_ASSUMPTIONS!$C$113,IF('Exec Summary'!$H$7="Bull",N7*MASTER_ASSUMPTIONS!$C$114,N7)),IF('Exec Summary'!$H$7="Bear",C7,IF('Exec Summary'!$H$7="Bull",E7,IF('Exec Summary'!$H$7="Custom",M7,D7))))</f>
        <v>1051048.2675</v>
      </c>
      <c r="K7" s="387" t="n">
        <f aca="false">AVERAGE(F7:J7)</f>
        <v>950948.4325</v>
      </c>
      <c r="L7" s="6" t="s">
        <v>2012</v>
      </c>
      <c r="M7" s="591" t="n">
        <f aca="false">SANDBOX!F15</f>
        <v>1000998.35</v>
      </c>
      <c r="N7" s="0" t="n">
        <v>926459.6</v>
      </c>
    </row>
    <row r="8" customFormat="false" ht="16.5" hidden="false" customHeight="true" outlineLevel="0" collapsed="false">
      <c r="B8" s="113" t="s">
        <v>218</v>
      </c>
      <c r="C8" s="587" t="n">
        <f aca="false">'Events · Scenarios'!C10</f>
        <v>989507.7375</v>
      </c>
      <c r="D8" s="544" t="n">
        <f aca="false">'Events · Scenarios'!D10</f>
        <v>1206210</v>
      </c>
      <c r="E8" s="588" t="n">
        <f aca="false">'Events · Scenarios'!E10</f>
        <v>1462390.05</v>
      </c>
      <c r="F8" s="589" t="n">
        <f aca="false">0.8*IF(MASTER_ASSUMPTIONS!$C$110="INSTITUTIONAL",IF('Exec Summary'!$H$7="Bear",N8*MASTER_ASSUMPTIONS!$C$113,IF('Exec Summary'!$H$7="Bull",N8*MASTER_ASSUMPTIONS!$C$114,N8)),IF('Exec Summary'!$H$7="Bear",C8,IF('Exec Summary'!$H$7="Bull",E8,IF('Exec Summary'!$H$7="Custom",M8,D8))))</f>
        <v>964968</v>
      </c>
      <c r="G8" s="589" t="n">
        <f aca="false">0.9*IF(MASTER_ASSUMPTIONS!$C$110="INSTITUTIONAL",IF('Exec Summary'!$H$7="Bear",N8*MASTER_ASSUMPTIONS!$C$113,IF('Exec Summary'!$H$7="Bull",N8*MASTER_ASSUMPTIONS!$C$114,N8)),IF('Exec Summary'!$H$7="Bear",C8,IF('Exec Summary'!$H$7="Bull",E8,IF('Exec Summary'!$H$7="Custom",M8,D8))))</f>
        <v>1085589</v>
      </c>
      <c r="H8" s="590" t="n">
        <f aca="false">IF(MASTER_ASSUMPTIONS!$C$110="INSTITUTIONAL",IF('Exec Summary'!$H$7="Bear",N8*MASTER_ASSUMPTIONS!$C$113,IF('Exec Summary'!$H$7="Bull",N8*MASTER_ASSUMPTIONS!$C$114,N8)),IF('Exec Summary'!$H$7="Bear",C8,IF('Exec Summary'!$H$7="Bull",E8,IF('Exec Summary'!$H$7="Custom",M8,D8))))</f>
        <v>1206210</v>
      </c>
      <c r="I8" s="589" t="n">
        <f aca="false">IF(MASTER_ASSUMPTIONS!$C$110="INSTITUTIONAL",IF('Exec Summary'!$H$7="Bear",N8*MASTER_ASSUMPTIONS!$C$113,IF('Exec Summary'!$H$7="Bull",N8*MASTER_ASSUMPTIONS!$C$114,N8)),IF('Exec Summary'!$H$7="Bear",C8,IF('Exec Summary'!$H$7="Bull",E8,IF('Exec Summary'!$H$7="Custom",M8,D8))))</f>
        <v>1206210</v>
      </c>
      <c r="J8" s="589" t="n">
        <f aca="false">1.05*IF(MASTER_ASSUMPTIONS!$C$110="INSTITUTIONAL",IF('Exec Summary'!$H$7="Bear",N8*MASTER_ASSUMPTIONS!$C$113,IF('Exec Summary'!$H$7="Bull",N8*MASTER_ASSUMPTIONS!$C$114,N8)),IF('Exec Summary'!$H$7="Bear",C8,IF('Exec Summary'!$H$7="Bull",E8,IF('Exec Summary'!$H$7="Custom",M8,D8))))</f>
        <v>1266520.5</v>
      </c>
      <c r="K8" s="387" t="n">
        <f aca="false">AVERAGE(F8:J8)</f>
        <v>1145899.5</v>
      </c>
      <c r="L8" s="6" t="s">
        <v>2013</v>
      </c>
      <c r="M8" s="591" t="n">
        <f aca="false">SANDBOX!F16</f>
        <v>1206210</v>
      </c>
      <c r="N8" s="0" t="n">
        <v>1150860</v>
      </c>
    </row>
    <row r="9" customFormat="false" ht="16.5" hidden="false" customHeight="true" outlineLevel="0" collapsed="false">
      <c r="B9" s="113" t="s">
        <v>145</v>
      </c>
      <c r="C9" s="587" t="n">
        <f aca="false">'Academy · Scenarios'!C10</f>
        <v>1107195.85</v>
      </c>
      <c r="D9" s="544" t="n">
        <f aca="false">'Academy · Scenarios'!D10</f>
        <v>1595070</v>
      </c>
      <c r="E9" s="588" t="n">
        <f aca="false">'Academy · Scenarios'!E10</f>
        <v>2036298.84</v>
      </c>
      <c r="F9" s="589" t="n">
        <f aca="false">0.8*IF(MASTER_ASSUMPTIONS!$C$110="INSTITUTIONAL",IF('Exec Summary'!$H$7="Bear",N9*MASTER_ASSUMPTIONS!$C$113,IF('Exec Summary'!$H$7="Bull",N9*MASTER_ASSUMPTIONS!$C$114,N9)),IF('Exec Summary'!$H$7="Bear",C9,IF('Exec Summary'!$H$7="Bull",E9,IF('Exec Summary'!$H$7="Custom",M9,D9))))</f>
        <v>1276056</v>
      </c>
      <c r="G9" s="589" t="n">
        <f aca="false">0.9*IF(MASTER_ASSUMPTIONS!$C$110="INSTITUTIONAL",IF('Exec Summary'!$H$7="Bear",N9*MASTER_ASSUMPTIONS!$C$113,IF('Exec Summary'!$H$7="Bull",N9*MASTER_ASSUMPTIONS!$C$114,N9)),IF('Exec Summary'!$H$7="Bear",C9,IF('Exec Summary'!$H$7="Bull",E9,IF('Exec Summary'!$H$7="Custom",M9,D9))))</f>
        <v>1435563</v>
      </c>
      <c r="H9" s="590" t="n">
        <f aca="false">IF(MASTER_ASSUMPTIONS!$C$110="INSTITUTIONAL",IF('Exec Summary'!$H$7="Bear",N9*MASTER_ASSUMPTIONS!$C$113,IF('Exec Summary'!$H$7="Bull",N9*MASTER_ASSUMPTIONS!$C$114,N9)),IF('Exec Summary'!$H$7="Bear",C9,IF('Exec Summary'!$H$7="Bull",E9,IF('Exec Summary'!$H$7="Custom",M9,D9))))</f>
        <v>1595070</v>
      </c>
      <c r="I9" s="589" t="n">
        <f aca="false">IF(MASTER_ASSUMPTIONS!$C$110="INSTITUTIONAL",IF('Exec Summary'!$H$7="Bear",N9*MASTER_ASSUMPTIONS!$C$113,IF('Exec Summary'!$H$7="Bull",N9*MASTER_ASSUMPTIONS!$C$114,N9)),IF('Exec Summary'!$H$7="Bear",C9,IF('Exec Summary'!$H$7="Bull",E9,IF('Exec Summary'!$H$7="Custom",M9,D9))))</f>
        <v>1595070</v>
      </c>
      <c r="J9" s="589" t="n">
        <f aca="false">1.05*IF(MASTER_ASSUMPTIONS!$C$110="INSTITUTIONAL",IF('Exec Summary'!$H$7="Bear",N9*MASTER_ASSUMPTIONS!$C$113,IF('Exec Summary'!$H$7="Bull",N9*MASTER_ASSUMPTIONS!$C$114,N9)),IF('Exec Summary'!$H$7="Bear",C9,IF('Exec Summary'!$H$7="Bull",E9,IF('Exec Summary'!$H$7="Custom",M9,D9))))</f>
        <v>1674823.5</v>
      </c>
      <c r="K9" s="387" t="n">
        <f aca="false">AVERAGE(F9:J9)</f>
        <v>1515316.5</v>
      </c>
      <c r="L9" s="6" t="s">
        <v>2013</v>
      </c>
      <c r="M9" s="591" t="n">
        <f aca="false">SANDBOX!F17</f>
        <v>1595070</v>
      </c>
      <c r="N9" s="0" t="n">
        <v>1538880</v>
      </c>
    </row>
    <row r="10" customFormat="false" ht="16.5" hidden="false" customHeight="true" outlineLevel="0" collapsed="false">
      <c r="B10" s="113" t="s">
        <v>219</v>
      </c>
      <c r="C10" s="587" t="n">
        <f aca="false">'Esports · Scenarios'!C9</f>
        <v>354375.050832</v>
      </c>
      <c r="D10" s="544" t="n">
        <f aca="false">'Esports · Scenarios'!D9</f>
        <v>693656.4</v>
      </c>
      <c r="E10" s="588" t="n">
        <f aca="false">'Esports · Scenarios'!E9</f>
        <v>1394430.337872</v>
      </c>
      <c r="F10" s="589" t="n">
        <f aca="false">0.8*IF(MASTER_ASSUMPTIONS!$C$110="INSTITUTIONAL",IF('Exec Summary'!$H$7="Bear",N10*MASTER_ASSUMPTIONS!$C$113,IF('Exec Summary'!$H$7="Bull",N10*MASTER_ASSUMPTIONS!$C$114,N10)),IF('Exec Summary'!$H$7="Bear",C10,IF('Exec Summary'!$H$7="Bull",E10,IF('Exec Summary'!$H$7="Custom",M10,D10))))</f>
        <v>554925.12</v>
      </c>
      <c r="G10" s="589" t="n">
        <f aca="false">0.9*IF(MASTER_ASSUMPTIONS!$C$110="INSTITUTIONAL",IF('Exec Summary'!$H$7="Bear",N10*MASTER_ASSUMPTIONS!$C$113,IF('Exec Summary'!$H$7="Bull",N10*MASTER_ASSUMPTIONS!$C$114,N10)),IF('Exec Summary'!$H$7="Bear",C10,IF('Exec Summary'!$H$7="Bull",E10,IF('Exec Summary'!$H$7="Custom",M10,D10))))</f>
        <v>624290.76</v>
      </c>
      <c r="H10" s="590" t="n">
        <f aca="false">IF(MASTER_ASSUMPTIONS!$C$110="INSTITUTIONAL",IF('Exec Summary'!$H$7="Bear",N10*MASTER_ASSUMPTIONS!$C$113,IF('Exec Summary'!$H$7="Bull",N10*MASTER_ASSUMPTIONS!$C$114,N10)),IF('Exec Summary'!$H$7="Bear",C10,IF('Exec Summary'!$H$7="Bull",E10,IF('Exec Summary'!$H$7="Custom",M10,D10))))</f>
        <v>693656.4</v>
      </c>
      <c r="I10" s="589" t="n">
        <f aca="false">IF(MASTER_ASSUMPTIONS!$C$110="INSTITUTIONAL",IF('Exec Summary'!$H$7="Bear",N10*MASTER_ASSUMPTIONS!$C$113,IF('Exec Summary'!$H$7="Bull",N10*MASTER_ASSUMPTIONS!$C$114,N10)),IF('Exec Summary'!$H$7="Bear",C10,IF('Exec Summary'!$H$7="Bull",E10,IF('Exec Summary'!$H$7="Custom",M10,D10))))</f>
        <v>693656.4</v>
      </c>
      <c r="J10" s="589" t="n">
        <f aca="false">1.05*IF(MASTER_ASSUMPTIONS!$C$110="INSTITUTIONAL",IF('Exec Summary'!$H$7="Bear",N10*MASTER_ASSUMPTIONS!$C$113,IF('Exec Summary'!$H$7="Bull",N10*MASTER_ASSUMPTIONS!$C$114,N10)),IF('Exec Summary'!$H$7="Bear",C10,IF('Exec Summary'!$H$7="Bull",E10,IF('Exec Summary'!$H$7="Custom",M10,D10))))</f>
        <v>728339.22</v>
      </c>
      <c r="K10" s="387" t="n">
        <f aca="false">AVERAGE(F10:J10)</f>
        <v>658973.58</v>
      </c>
      <c r="L10" s="6" t="s">
        <v>2013</v>
      </c>
      <c r="M10" s="591" t="n">
        <f aca="false">SANDBOX!F18</f>
        <v>693656.4</v>
      </c>
      <c r="N10" s="0" t="n">
        <v>641460</v>
      </c>
    </row>
    <row r="11" customFormat="false" ht="16.5" hidden="false" customHeight="true" outlineLevel="0" collapsed="false">
      <c r="B11" s="113" t="s">
        <v>151</v>
      </c>
      <c r="C11" s="587" t="n">
        <f aca="false">'Museum · Scenarios'!C9</f>
        <v>322767.6054992</v>
      </c>
      <c r="D11" s="544" t="n">
        <f aca="false">'Museum · Scenarios'!D9</f>
        <v>488873.1</v>
      </c>
      <c r="E11" s="588" t="n">
        <f aca="false">'Museum · Scenarios'!E9</f>
        <v>621625.293696</v>
      </c>
      <c r="F11" s="589" t="n">
        <f aca="false">0.8*IF(MASTER_ASSUMPTIONS!$C$110="INSTITUTIONAL",IF('Exec Summary'!$H$7="Bear",N11*MASTER_ASSUMPTIONS!$C$113,IF('Exec Summary'!$H$7="Bull",N11*MASTER_ASSUMPTIONS!$C$114,N11)),IF('Exec Summary'!$H$7="Bear",C11,IF('Exec Summary'!$H$7="Bull",E11,IF('Exec Summary'!$H$7="Custom",M11,D11))))</f>
        <v>391098.48</v>
      </c>
      <c r="G11" s="589" t="n">
        <f aca="false">0.9*IF(MASTER_ASSUMPTIONS!$C$110="INSTITUTIONAL",IF('Exec Summary'!$H$7="Bear",N11*MASTER_ASSUMPTIONS!$C$113,IF('Exec Summary'!$H$7="Bull",N11*MASTER_ASSUMPTIONS!$C$114,N11)),IF('Exec Summary'!$H$7="Bear",C11,IF('Exec Summary'!$H$7="Bull",E11,IF('Exec Summary'!$H$7="Custom",M11,D11))))</f>
        <v>439985.79</v>
      </c>
      <c r="H11" s="590" t="n">
        <f aca="false">IF(MASTER_ASSUMPTIONS!$C$110="INSTITUTIONAL",IF('Exec Summary'!$H$7="Bear",N11*MASTER_ASSUMPTIONS!$C$113,IF('Exec Summary'!$H$7="Bull",N11*MASTER_ASSUMPTIONS!$C$114,N11)),IF('Exec Summary'!$H$7="Bear",C11,IF('Exec Summary'!$H$7="Bull",E11,IF('Exec Summary'!$H$7="Custom",M11,D11))))</f>
        <v>488873.1</v>
      </c>
      <c r="I11" s="589" t="n">
        <f aca="false">IF(MASTER_ASSUMPTIONS!$C$110="INSTITUTIONAL",IF('Exec Summary'!$H$7="Bear",N11*MASTER_ASSUMPTIONS!$C$113,IF('Exec Summary'!$H$7="Bull",N11*MASTER_ASSUMPTIONS!$C$114,N11)),IF('Exec Summary'!$H$7="Bear",C11,IF('Exec Summary'!$H$7="Bull",E11,IF('Exec Summary'!$H$7="Custom",M11,D11))))</f>
        <v>488873.1</v>
      </c>
      <c r="J11" s="589" t="n">
        <f aca="false">1.05*IF(MASTER_ASSUMPTIONS!$C$110="INSTITUTIONAL",IF('Exec Summary'!$H$7="Bear",N11*MASTER_ASSUMPTIONS!$C$113,IF('Exec Summary'!$H$7="Bull",N11*MASTER_ASSUMPTIONS!$C$114,N11)),IF('Exec Summary'!$H$7="Bear",C11,IF('Exec Summary'!$H$7="Bull",E11,IF('Exec Summary'!$H$7="Custom",M11,D11))))</f>
        <v>513316.755</v>
      </c>
      <c r="K11" s="387" t="n">
        <f aca="false">AVERAGE(F11:J11)</f>
        <v>464429.445</v>
      </c>
      <c r="L11" s="6" t="s">
        <v>2013</v>
      </c>
      <c r="M11" s="591" t="n">
        <f aca="false">SANDBOX!F19</f>
        <v>488873.1</v>
      </c>
      <c r="N11" s="0" t="n">
        <v>451485.6</v>
      </c>
    </row>
    <row r="12" customFormat="false" ht="16.5" hidden="false" customHeight="true" outlineLevel="0" collapsed="false">
      <c r="B12" s="113" t="s">
        <v>157</v>
      </c>
      <c r="C12" s="587" t="n">
        <f aca="false">'Subleasing · Scenarios'!C10</f>
        <v>226907.5</v>
      </c>
      <c r="D12" s="544" t="n">
        <f aca="false">'Subleasing · Scenarios'!D10</f>
        <v>321000</v>
      </c>
      <c r="E12" s="588" t="n">
        <f aca="false">'Subleasing · Scenarios'!E10</f>
        <v>395164</v>
      </c>
      <c r="F12" s="589" t="n">
        <f aca="false">0.8*IF(MASTER_ASSUMPTIONS!$C$110="INSTITUTIONAL",IF('Exec Summary'!$H$7="Bear",N12*MASTER_ASSUMPTIONS!$C$113,IF('Exec Summary'!$H$7="Bull",N12*MASTER_ASSUMPTIONS!$C$114,N12)),IF('Exec Summary'!$H$7="Bear",C12,IF('Exec Summary'!$H$7="Bull",E12,IF('Exec Summary'!$H$7="Custom",M12,D12))))</f>
        <v>256800</v>
      </c>
      <c r="G12" s="589" t="n">
        <f aca="false">0.9*IF(MASTER_ASSUMPTIONS!$C$110="INSTITUTIONAL",IF('Exec Summary'!$H$7="Bear",N12*MASTER_ASSUMPTIONS!$C$113,IF('Exec Summary'!$H$7="Bull",N12*MASTER_ASSUMPTIONS!$C$114,N12)),IF('Exec Summary'!$H$7="Bear",C12,IF('Exec Summary'!$H$7="Bull",E12,IF('Exec Summary'!$H$7="Custom",M12,D12))))</f>
        <v>288900</v>
      </c>
      <c r="H12" s="590" t="n">
        <f aca="false">IF(MASTER_ASSUMPTIONS!$C$110="INSTITUTIONAL",IF('Exec Summary'!$H$7="Bear",N12*MASTER_ASSUMPTIONS!$C$113,IF('Exec Summary'!$H$7="Bull",N12*MASTER_ASSUMPTIONS!$C$114,N12)),IF('Exec Summary'!$H$7="Bear",C12,IF('Exec Summary'!$H$7="Bull",E12,IF('Exec Summary'!$H$7="Custom",M12,D12))))</f>
        <v>321000</v>
      </c>
      <c r="I12" s="589" t="n">
        <f aca="false">IF(MASTER_ASSUMPTIONS!$C$110="INSTITUTIONAL",IF('Exec Summary'!$H$7="Bear",N12*MASTER_ASSUMPTIONS!$C$113,IF('Exec Summary'!$H$7="Bull",N12*MASTER_ASSUMPTIONS!$C$114,N12)),IF('Exec Summary'!$H$7="Bear",C12,IF('Exec Summary'!$H$7="Bull",E12,IF('Exec Summary'!$H$7="Custom",M12,D12))))</f>
        <v>321000</v>
      </c>
      <c r="J12" s="589" t="n">
        <f aca="false">1.05*IF(MASTER_ASSUMPTIONS!$C$110="INSTITUTIONAL",IF('Exec Summary'!$H$7="Bear",N12*MASTER_ASSUMPTIONS!$C$113,IF('Exec Summary'!$H$7="Bull",N12*MASTER_ASSUMPTIONS!$C$114,N12)),IF('Exec Summary'!$H$7="Bear",C12,IF('Exec Summary'!$H$7="Bull",E12,IF('Exec Summary'!$H$7="Custom",M12,D12))))</f>
        <v>337050</v>
      </c>
      <c r="K12" s="387" t="n">
        <f aca="false">AVERAGE(F12:J12)</f>
        <v>304950</v>
      </c>
      <c r="L12" s="6" t="s">
        <v>2013</v>
      </c>
      <c r="M12" s="591" t="n">
        <f aca="false">SANDBOX!F20</f>
        <v>321000</v>
      </c>
      <c r="N12" s="0" t="n">
        <v>305000</v>
      </c>
    </row>
    <row r="13" customFormat="false" ht="16.5" hidden="false" customHeight="true" outlineLevel="0" collapsed="false">
      <c r="B13" s="113" t="s">
        <v>143</v>
      </c>
      <c r="C13" s="587" t="n">
        <f aca="false">'F&amp;B · Scenarios'!C11</f>
        <v>568252.279752</v>
      </c>
      <c r="D13" s="544" t="n">
        <f aca="false">'F&amp;B · Scenarios'!D11</f>
        <v>789714.3</v>
      </c>
      <c r="E13" s="588" t="n">
        <f aca="false">'F&amp;B · Scenarios'!E11</f>
        <v>1772914.8228</v>
      </c>
      <c r="F13" s="589" t="n">
        <f aca="false">0.8*IF(MASTER_ASSUMPTIONS!$C$110="INSTITUTIONAL",IF('Exec Summary'!$H$7="Bear",N13*MASTER_ASSUMPTIONS!$C$113,IF('Exec Summary'!$H$7="Bull",N13*MASTER_ASSUMPTIONS!$C$114,N13)),IF('Exec Summary'!$H$7="Bear",C13,IF('Exec Summary'!$H$7="Bull",E13,IF('Exec Summary'!$H$7="Custom",M13,D13))))</f>
        <v>631771.44</v>
      </c>
      <c r="G13" s="589" t="n">
        <f aca="false">0.9*IF(MASTER_ASSUMPTIONS!$C$110="INSTITUTIONAL",IF('Exec Summary'!$H$7="Bear",N13*MASTER_ASSUMPTIONS!$C$113,IF('Exec Summary'!$H$7="Bull",N13*MASTER_ASSUMPTIONS!$C$114,N13)),IF('Exec Summary'!$H$7="Bear",C13,IF('Exec Summary'!$H$7="Bull",E13,IF('Exec Summary'!$H$7="Custom",M13,D13))))</f>
        <v>710742.87</v>
      </c>
      <c r="H13" s="590" t="n">
        <f aca="false">IF(MASTER_ASSUMPTIONS!$C$110="INSTITUTIONAL",IF('Exec Summary'!$H$7="Bear",N13*MASTER_ASSUMPTIONS!$C$113,IF('Exec Summary'!$H$7="Bull",N13*MASTER_ASSUMPTIONS!$C$114,N13)),IF('Exec Summary'!$H$7="Bear",C13,IF('Exec Summary'!$H$7="Bull",E13,IF('Exec Summary'!$H$7="Custom",M13,D13))))</f>
        <v>789714.3</v>
      </c>
      <c r="I13" s="589" t="n">
        <f aca="false">IF(MASTER_ASSUMPTIONS!$C$110="INSTITUTIONAL",IF('Exec Summary'!$H$7="Bear",N13*MASTER_ASSUMPTIONS!$C$113,IF('Exec Summary'!$H$7="Bull",N13*MASTER_ASSUMPTIONS!$C$114,N13)),IF('Exec Summary'!$H$7="Bear",C13,IF('Exec Summary'!$H$7="Bull",E13,IF('Exec Summary'!$H$7="Custom",M13,D13))))</f>
        <v>789714.3</v>
      </c>
      <c r="J13" s="589" t="n">
        <f aca="false">1.05*IF(MASTER_ASSUMPTIONS!$C$110="INSTITUTIONAL",IF('Exec Summary'!$H$7="Bear",N13*MASTER_ASSUMPTIONS!$C$113,IF('Exec Summary'!$H$7="Bull",N13*MASTER_ASSUMPTIONS!$C$114,N13)),IF('Exec Summary'!$H$7="Bear",C13,IF('Exec Summary'!$H$7="Bull",E13,IF('Exec Summary'!$H$7="Custom",M13,D13))))</f>
        <v>829200.015</v>
      </c>
      <c r="K13" s="387" t="n">
        <f aca="false">AVERAGE(F13:J13)</f>
        <v>750228.585</v>
      </c>
      <c r="L13" s="6" t="s">
        <v>2013</v>
      </c>
      <c r="M13" s="591" t="n">
        <f aca="false">SANDBOX!F21</f>
        <v>789714.3</v>
      </c>
      <c r="N13" s="0" t="n">
        <v>772596</v>
      </c>
    </row>
    <row r="14" customFormat="false" ht="16.5" hidden="false" customHeight="true" outlineLevel="0" collapsed="false">
      <c r="B14" s="113" t="s">
        <v>153</v>
      </c>
      <c r="C14" s="587" t="n">
        <f aca="false">'Sponsorships · Scenarios'!C11</f>
        <v>166049.18</v>
      </c>
      <c r="D14" s="544" t="n">
        <f aca="false">'Sponsorships · Scenarios'!D11</f>
        <v>287000</v>
      </c>
      <c r="E14" s="588" t="n">
        <f aca="false">'Sponsorships · Scenarios'!E11</f>
        <v>363968</v>
      </c>
      <c r="F14" s="589" t="n">
        <f aca="false">0.8*IF(MASTER_ASSUMPTIONS!$C$110="INSTITUTIONAL",IF('Exec Summary'!$H$7="Bear",N14*MASTER_ASSUMPTIONS!$C$113,IF('Exec Summary'!$H$7="Bull",N14*MASTER_ASSUMPTIONS!$C$114,N14)),IF('Exec Summary'!$H$7="Bear",C14,IF('Exec Summary'!$H$7="Bull",E14,IF('Exec Summary'!$H$7="Custom",M14,D14))))</f>
        <v>229600</v>
      </c>
      <c r="G14" s="589" t="n">
        <f aca="false">0.9*IF(MASTER_ASSUMPTIONS!$C$110="INSTITUTIONAL",IF('Exec Summary'!$H$7="Bear",N14*MASTER_ASSUMPTIONS!$C$113,IF('Exec Summary'!$H$7="Bull",N14*MASTER_ASSUMPTIONS!$C$114,N14)),IF('Exec Summary'!$H$7="Bear",C14,IF('Exec Summary'!$H$7="Bull",E14,IF('Exec Summary'!$H$7="Custom",M14,D14))))</f>
        <v>258300</v>
      </c>
      <c r="H14" s="590" t="n">
        <f aca="false">IF(MASTER_ASSUMPTIONS!$C$110="INSTITUTIONAL",IF('Exec Summary'!$H$7="Bear",N14*MASTER_ASSUMPTIONS!$C$113,IF('Exec Summary'!$H$7="Bull",N14*MASTER_ASSUMPTIONS!$C$114,N14)),IF('Exec Summary'!$H$7="Bear",C14,IF('Exec Summary'!$H$7="Bull",E14,IF('Exec Summary'!$H$7="Custom",M14,D14))))</f>
        <v>287000</v>
      </c>
      <c r="I14" s="589" t="n">
        <f aca="false">IF(MASTER_ASSUMPTIONS!$C$110="INSTITUTIONAL",IF('Exec Summary'!$H$7="Bear",N14*MASTER_ASSUMPTIONS!$C$113,IF('Exec Summary'!$H$7="Bull",N14*MASTER_ASSUMPTIONS!$C$114,N14)),IF('Exec Summary'!$H$7="Bear",C14,IF('Exec Summary'!$H$7="Bull",E14,IF('Exec Summary'!$H$7="Custom",M14,D14))))</f>
        <v>287000</v>
      </c>
      <c r="J14" s="589" t="n">
        <f aca="false">1.05*IF(MASTER_ASSUMPTIONS!$C$110="INSTITUTIONAL",IF('Exec Summary'!$H$7="Bear",N14*MASTER_ASSUMPTIONS!$C$113,IF('Exec Summary'!$H$7="Bull",N14*MASTER_ASSUMPTIONS!$C$114,N14)),IF('Exec Summary'!$H$7="Bear",C14,IF('Exec Summary'!$H$7="Bull",E14,IF('Exec Summary'!$H$7="Custom",M14,D14))))</f>
        <v>301350</v>
      </c>
      <c r="K14" s="387" t="n">
        <f aca="false">AVERAGE(F14:J14)</f>
        <v>272650</v>
      </c>
      <c r="L14" s="6" t="s">
        <v>2013</v>
      </c>
      <c r="M14" s="591" t="n">
        <f aca="false">SANDBOX!F22</f>
        <v>287000</v>
      </c>
      <c r="N14" s="0" t="n">
        <v>275000</v>
      </c>
    </row>
    <row r="15" customFormat="false" ht="16.5" hidden="false" customHeight="true" outlineLevel="0" collapsed="false">
      <c r="B15" s="113" t="s">
        <v>155</v>
      </c>
      <c r="C15" s="587" t="n">
        <f aca="false">'Borderless · Scenarios'!C10</f>
        <v>191737.32</v>
      </c>
      <c r="D15" s="544" t="n">
        <f aca="false">'Borderless · Scenarios'!D10</f>
        <v>289500</v>
      </c>
      <c r="E15" s="588" t="n">
        <f aca="false">'Borderless · Scenarios'!E10</f>
        <v>355086.6</v>
      </c>
      <c r="F15" s="589" t="n">
        <f aca="false">0.8*IF(MASTER_ASSUMPTIONS!$C$110="INSTITUTIONAL",IF('Exec Summary'!$H$7="Bear",N15*MASTER_ASSUMPTIONS!$C$113,IF('Exec Summary'!$H$7="Bull",N15*MASTER_ASSUMPTIONS!$C$114,N15)),IF('Exec Summary'!$H$7="Bear",C15,IF('Exec Summary'!$H$7="Bull",E15,IF('Exec Summary'!$H$7="Custom",M15,D15))))</f>
        <v>231600</v>
      </c>
      <c r="G15" s="589" t="n">
        <f aca="false">0.9*IF(MASTER_ASSUMPTIONS!$C$110="INSTITUTIONAL",IF('Exec Summary'!$H$7="Bear",N15*MASTER_ASSUMPTIONS!$C$113,IF('Exec Summary'!$H$7="Bull",N15*MASTER_ASSUMPTIONS!$C$114,N15)),IF('Exec Summary'!$H$7="Bear",C15,IF('Exec Summary'!$H$7="Bull",E15,IF('Exec Summary'!$H$7="Custom",M15,D15))))</f>
        <v>260550</v>
      </c>
      <c r="H15" s="590" t="n">
        <f aca="false">IF(MASTER_ASSUMPTIONS!$C$110="INSTITUTIONAL",IF('Exec Summary'!$H$7="Bear",N15*MASTER_ASSUMPTIONS!$C$113,IF('Exec Summary'!$H$7="Bull",N15*MASTER_ASSUMPTIONS!$C$114,N15)),IF('Exec Summary'!$H$7="Bear",C15,IF('Exec Summary'!$H$7="Bull",E15,IF('Exec Summary'!$H$7="Custom",M15,D15))))</f>
        <v>289500</v>
      </c>
      <c r="I15" s="589" t="n">
        <f aca="false">IF(MASTER_ASSUMPTIONS!$C$110="INSTITUTIONAL",IF('Exec Summary'!$H$7="Bear",N15*MASTER_ASSUMPTIONS!$C$113,IF('Exec Summary'!$H$7="Bull",N15*MASTER_ASSUMPTIONS!$C$114,N15)),IF('Exec Summary'!$H$7="Bear",C15,IF('Exec Summary'!$H$7="Bull",E15,IF('Exec Summary'!$H$7="Custom",M15,D15))))</f>
        <v>289500</v>
      </c>
      <c r="J15" s="589" t="n">
        <f aca="false">1.05*IF(MASTER_ASSUMPTIONS!$C$110="INSTITUTIONAL",IF('Exec Summary'!$H$7="Bear",N15*MASTER_ASSUMPTIONS!$C$113,IF('Exec Summary'!$H$7="Bull",N15*MASTER_ASSUMPTIONS!$C$114,N15)),IF('Exec Summary'!$H$7="Bear",C15,IF('Exec Summary'!$H$7="Bull",E15,IF('Exec Summary'!$H$7="Custom",M15,D15))))</f>
        <v>303975</v>
      </c>
      <c r="K15" s="387" t="n">
        <f aca="false">AVERAGE(F15:J15)</f>
        <v>275025</v>
      </c>
      <c r="L15" s="6" t="s">
        <v>2013</v>
      </c>
      <c r="M15" s="591" t="n">
        <f aca="false">SANDBOX!F23</f>
        <v>289500</v>
      </c>
      <c r="N15" s="0" t="n">
        <v>285000</v>
      </c>
    </row>
    <row r="16" customFormat="false" ht="15" hidden="false" customHeight="true" outlineLevel="0" collapsed="false">
      <c r="B16" s="6"/>
      <c r="L16" s="6"/>
    </row>
    <row r="17" customFormat="false" ht="24" hidden="false" customHeight="true" outlineLevel="0" collapsed="false">
      <c r="B17" s="117" t="s">
        <v>220</v>
      </c>
      <c r="C17" s="440" t="n">
        <f aca="false">SUM(C7:C15)</f>
        <v>4777641.1210832</v>
      </c>
      <c r="D17" s="440" t="n">
        <f aca="false">SUM(D7:D15)</f>
        <v>6672022.15</v>
      </c>
      <c r="E17" s="440" t="n">
        <f aca="false">SUM(E7:E15)</f>
        <v>9502976.129368</v>
      </c>
      <c r="F17" s="440" t="n">
        <f aca="false">SUM(F7:F15)</f>
        <v>5337617.72</v>
      </c>
      <c r="G17" s="440" t="n">
        <f aca="false">SUM(G7:G15)</f>
        <v>6004819.935</v>
      </c>
      <c r="H17" s="440" t="n">
        <f aca="false">SUM(H7:H15)</f>
        <v>6672022.15</v>
      </c>
      <c r="I17" s="440" t="n">
        <f aca="false">SUM(I7:I15)</f>
        <v>6672022.15</v>
      </c>
      <c r="J17" s="440" t="n">
        <f aca="false">SUM(J7:J15)</f>
        <v>7005623.2575</v>
      </c>
      <c r="K17" s="440" t="n">
        <f aca="false">SUM(K7:K15)</f>
        <v>6338421.0425</v>
      </c>
      <c r="L17" s="6"/>
    </row>
    <row r="18" customFormat="false" ht="15" hidden="false" customHeight="true" outlineLevel="0" collapsed="false">
      <c r="B18" s="6"/>
      <c r="L18" s="6"/>
    </row>
    <row r="19" customFormat="false" ht="15" hidden="false" customHeight="true" outlineLevel="0" collapsed="false">
      <c r="B19" s="592" t="s">
        <v>2014</v>
      </c>
      <c r="F19" s="573" t="s">
        <v>672</v>
      </c>
      <c r="G19" s="593" t="n">
        <f aca="false">G17/F17-1</f>
        <v>0.125</v>
      </c>
      <c r="H19" s="593" t="n">
        <f aca="false">H17/G17-1</f>
        <v>0.111111111111111</v>
      </c>
      <c r="I19" s="593" t="n">
        <f aca="false">I17/H17-1</f>
        <v>0</v>
      </c>
      <c r="J19" s="593" t="n">
        <f aca="false">J17/I17-1</f>
        <v>0.05</v>
      </c>
      <c r="L19" s="6"/>
    </row>
    <row r="20" customFormat="false" ht="15" hidden="false" customHeight="true" outlineLevel="0" collapsed="false">
      <c r="B20" s="6"/>
      <c r="L20" s="6"/>
    </row>
    <row r="21" customFormat="false" ht="15" hidden="false" customHeight="true" outlineLevel="0" collapsed="false">
      <c r="B21" s="6"/>
      <c r="L21" s="6"/>
    </row>
    <row r="22" customFormat="false" ht="33.75" hidden="false" customHeight="true" outlineLevel="0" collapsed="false">
      <c r="B22" s="96" t="s">
        <v>2015</v>
      </c>
      <c r="C22" s="96"/>
      <c r="D22" s="96"/>
      <c r="E22" s="96"/>
      <c r="F22" s="96"/>
      <c r="G22" s="96"/>
      <c r="H22" s="96"/>
      <c r="I22" s="96"/>
      <c r="J22" s="96"/>
      <c r="K22" s="96"/>
      <c r="L22" s="6"/>
    </row>
    <row r="23" customFormat="false" ht="15" hidden="false" customHeight="true" outlineLevel="0" collapsed="false">
      <c r="B23" s="97" t="s">
        <v>136</v>
      </c>
      <c r="C23" s="98" t="s">
        <v>2016</v>
      </c>
      <c r="D23" s="98" t="s">
        <v>1052</v>
      </c>
      <c r="L23" s="6"/>
    </row>
    <row r="24" customFormat="false" ht="16.5" hidden="false" customHeight="true" outlineLevel="0" collapsed="false">
      <c r="B24" s="113" t="s">
        <v>217</v>
      </c>
      <c r="C24" s="571" t="n">
        <f aca="false">H7</f>
        <v>1000998.35</v>
      </c>
      <c r="D24" s="594" t="n">
        <f aca="false">H7/$H$17</f>
        <v>0.150029230643366</v>
      </c>
      <c r="L24" s="6"/>
    </row>
    <row r="25" customFormat="false" ht="16.5" hidden="false" customHeight="true" outlineLevel="0" collapsed="false">
      <c r="B25" s="113" t="s">
        <v>218</v>
      </c>
      <c r="C25" s="571" t="n">
        <f aca="false">H8</f>
        <v>1206210</v>
      </c>
      <c r="D25" s="594" t="n">
        <f aca="false">H8/$H$17</f>
        <v>0.18078627032136</v>
      </c>
      <c r="L25" s="6"/>
    </row>
    <row r="26" customFormat="false" ht="16.5" hidden="false" customHeight="true" outlineLevel="0" collapsed="false">
      <c r="B26" s="113" t="s">
        <v>145</v>
      </c>
      <c r="C26" s="571" t="n">
        <f aca="false">H9</f>
        <v>1595070</v>
      </c>
      <c r="D26" s="594" t="n">
        <f aca="false">H9/$H$17</f>
        <v>0.239068450934324</v>
      </c>
      <c r="L26" s="6"/>
    </row>
    <row r="27" customFormat="false" ht="16.5" hidden="false" customHeight="true" outlineLevel="0" collapsed="false">
      <c r="B27" s="113" t="s">
        <v>219</v>
      </c>
      <c r="C27" s="571" t="n">
        <f aca="false">H10</f>
        <v>693656.4</v>
      </c>
      <c r="D27" s="594" t="n">
        <f aca="false">H10/$H$17</f>
        <v>0.10396494262238</v>
      </c>
      <c r="L27" s="6"/>
    </row>
    <row r="28" customFormat="false" ht="16.5" hidden="false" customHeight="true" outlineLevel="0" collapsed="false">
      <c r="B28" s="113" t="s">
        <v>151</v>
      </c>
      <c r="C28" s="571" t="n">
        <f aca="false">H11</f>
        <v>488873.1</v>
      </c>
      <c r="D28" s="594" t="n">
        <f aca="false">H11/$H$17</f>
        <v>0.0732721038703386</v>
      </c>
      <c r="L28" s="6"/>
    </row>
    <row r="29" customFormat="false" ht="16.5" hidden="false" customHeight="true" outlineLevel="0" collapsed="false">
      <c r="B29" s="113" t="s">
        <v>157</v>
      </c>
      <c r="C29" s="571" t="n">
        <f aca="false">H12</f>
        <v>321000</v>
      </c>
      <c r="D29" s="594" t="n">
        <f aca="false">H12/$H$17</f>
        <v>0.0481113510691807</v>
      </c>
      <c r="L29" s="6"/>
    </row>
    <row r="30" customFormat="false" ht="16.5" hidden="false" customHeight="true" outlineLevel="0" collapsed="false">
      <c r="B30" s="113" t="s">
        <v>143</v>
      </c>
      <c r="C30" s="571" t="n">
        <f aca="false">H13</f>
        <v>789714.3</v>
      </c>
      <c r="D30" s="594" t="n">
        <f aca="false">H13/$H$17</f>
        <v>0.118362062092375</v>
      </c>
      <c r="L30" s="6"/>
    </row>
    <row r="31" customFormat="false" ht="16.5" hidden="false" customHeight="true" outlineLevel="0" collapsed="false">
      <c r="B31" s="113" t="s">
        <v>153</v>
      </c>
      <c r="C31" s="571" t="n">
        <f aca="false">H14</f>
        <v>287000</v>
      </c>
      <c r="D31" s="594" t="n">
        <f aca="false">H14/$H$17</f>
        <v>0.0430154447254046</v>
      </c>
      <c r="L31" s="6"/>
    </row>
    <row r="32" customFormat="false" ht="16.5" hidden="false" customHeight="true" outlineLevel="0" collapsed="false">
      <c r="B32" s="113" t="s">
        <v>155</v>
      </c>
      <c r="C32" s="571" t="n">
        <f aca="false">H15</f>
        <v>289500</v>
      </c>
      <c r="D32" s="594" t="n">
        <f aca="false">H15/$H$17</f>
        <v>0.0433901437212705</v>
      </c>
      <c r="L32" s="6"/>
    </row>
    <row r="33" customFormat="false" ht="15" hidden="false" customHeight="true" outlineLevel="0" collapsed="false">
      <c r="B33" s="6"/>
      <c r="L33" s="6"/>
    </row>
    <row r="34" customFormat="false" ht="15" hidden="false" customHeight="true" outlineLevel="0" collapsed="false">
      <c r="B34" s="6"/>
      <c r="L34" s="6"/>
    </row>
    <row r="35" customFormat="false" ht="21.75" hidden="false" customHeight="true" outlineLevel="0" collapsed="false">
      <c r="B35" s="347" t="s">
        <v>2017</v>
      </c>
      <c r="C35" s="347"/>
      <c r="D35" s="347"/>
      <c r="E35" s="347"/>
      <c r="F35" s="347"/>
      <c r="G35" s="347"/>
      <c r="H35" s="347"/>
      <c r="I35" s="347"/>
      <c r="J35" s="347"/>
      <c r="K35" s="347"/>
      <c r="L35" s="6"/>
    </row>
    <row r="36" customFormat="false" ht="120" hidden="false" customHeight="true" outlineLevel="0" collapsed="false">
      <c r="B36" s="595" t="s">
        <v>2018</v>
      </c>
      <c r="C36" s="595"/>
      <c r="D36" s="595"/>
      <c r="E36" s="595"/>
      <c r="F36" s="595"/>
      <c r="G36" s="595"/>
      <c r="H36" s="595"/>
      <c r="I36" s="595"/>
      <c r="J36" s="595"/>
      <c r="K36" s="595"/>
      <c r="L36" s="6"/>
    </row>
    <row r="37" customFormat="false" ht="15" hidden="false" customHeight="true" outlineLevel="0" collapsed="false">
      <c r="B37" s="595"/>
      <c r="C37" s="595"/>
      <c r="D37" s="595"/>
      <c r="E37" s="595"/>
      <c r="F37" s="595"/>
      <c r="G37" s="595"/>
      <c r="H37" s="595"/>
      <c r="I37" s="595"/>
      <c r="J37" s="595"/>
      <c r="K37" s="595"/>
      <c r="L37" s="6"/>
    </row>
    <row r="38" customFormat="false" ht="15" hidden="false" customHeight="true" outlineLevel="0" collapsed="false">
      <c r="B38" s="595"/>
      <c r="C38" s="595"/>
      <c r="D38" s="595"/>
      <c r="E38" s="595"/>
      <c r="F38" s="595"/>
      <c r="G38" s="595"/>
      <c r="H38" s="595"/>
      <c r="I38" s="595"/>
      <c r="J38" s="595"/>
      <c r="K38" s="595"/>
      <c r="L38" s="6"/>
    </row>
    <row r="39" customFormat="false" ht="15" hidden="false" customHeight="true" outlineLevel="0" collapsed="false">
      <c r="B39" s="595"/>
      <c r="C39" s="595"/>
      <c r="D39" s="595"/>
      <c r="E39" s="595"/>
      <c r="F39" s="595"/>
      <c r="G39" s="595"/>
      <c r="H39" s="595"/>
      <c r="I39" s="595"/>
      <c r="J39" s="595"/>
      <c r="K39" s="595"/>
      <c r="L39" s="6"/>
    </row>
  </sheetData>
  <mergeCells count="7">
    <mergeCell ref="B2:G2"/>
    <mergeCell ref="H2:K2"/>
    <mergeCell ref="B3:K3"/>
    <mergeCell ref="B5:K5"/>
    <mergeCell ref="B22:K22"/>
    <mergeCell ref="B35:K35"/>
    <mergeCell ref="B36:K3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D13" activeCellId="0" sqref="D13"/>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8.67"/>
    <col collapsed="false" customWidth="true" hidden="false" outlineLevel="0" max="11" min="3" style="0" width="13"/>
    <col collapsed="false" customWidth="true" hidden="false" outlineLevel="0" max="13" min="12" style="0" width="12"/>
  </cols>
  <sheetData>
    <row r="1" customFormat="false" ht="3.75" hidden="false" customHeight="true" outlineLevel="0" collapsed="false">
      <c r="B1" s="1"/>
      <c r="C1" s="2"/>
      <c r="D1" s="2"/>
      <c r="E1" s="2"/>
      <c r="F1" s="2"/>
      <c r="G1" s="2"/>
      <c r="H1" s="2"/>
      <c r="I1" s="2"/>
      <c r="J1" s="2"/>
      <c r="K1" s="2"/>
    </row>
    <row r="2" customFormat="false" ht="33.75" hidden="false" customHeight="true" outlineLevel="0" collapsed="false">
      <c r="B2" s="88" t="s">
        <v>2019</v>
      </c>
      <c r="C2" s="88"/>
      <c r="D2" s="88"/>
      <c r="E2" s="88"/>
      <c r="F2" s="88"/>
      <c r="G2" s="88"/>
      <c r="H2" s="89" t="s">
        <v>198</v>
      </c>
      <c r="I2" s="89"/>
      <c r="J2" s="89"/>
      <c r="K2" s="89"/>
    </row>
    <row r="3" customFormat="false" ht="33.75" hidden="false" customHeight="true" outlineLevel="0" collapsed="false">
      <c r="B3" s="90" t="s">
        <v>2020</v>
      </c>
      <c r="C3" s="90"/>
      <c r="D3" s="90"/>
      <c r="E3" s="90"/>
      <c r="F3" s="90"/>
      <c r="G3" s="90"/>
      <c r="H3" s="90"/>
      <c r="I3" s="90"/>
      <c r="J3" s="90"/>
      <c r="K3" s="90"/>
    </row>
    <row r="4" customFormat="false" ht="15" hidden="false" customHeight="true" outlineLevel="0" collapsed="false">
      <c r="B4" s="159" t="s">
        <v>2021</v>
      </c>
      <c r="C4" s="201" t="s">
        <v>2022</v>
      </c>
      <c r="D4" s="0" t="s">
        <v>2023</v>
      </c>
    </row>
    <row r="5" customFormat="false" ht="33.75" hidden="false" customHeight="true" outlineLevel="0" collapsed="false">
      <c r="B5" s="555" t="s">
        <v>2024</v>
      </c>
      <c r="C5" s="555"/>
      <c r="D5" s="555"/>
      <c r="E5" s="555"/>
      <c r="F5" s="555"/>
      <c r="G5" s="555"/>
      <c r="H5" s="555"/>
      <c r="I5" s="555"/>
      <c r="J5" s="555"/>
      <c r="K5" s="555"/>
    </row>
    <row r="6" customFormat="false" ht="21.75" hidden="false" customHeight="true" outlineLevel="0" collapsed="false">
      <c r="B6" s="97" t="s">
        <v>136</v>
      </c>
      <c r="C6" s="98" t="s">
        <v>2025</v>
      </c>
      <c r="D6" s="98" t="s">
        <v>2026</v>
      </c>
      <c r="E6" s="98" t="s">
        <v>138</v>
      </c>
      <c r="F6" s="98" t="s">
        <v>2027</v>
      </c>
      <c r="G6" s="98" t="s">
        <v>2028</v>
      </c>
      <c r="H6" s="98" t="s">
        <v>2029</v>
      </c>
      <c r="I6" s="98" t="s">
        <v>2030</v>
      </c>
      <c r="J6" s="98" t="s">
        <v>2031</v>
      </c>
      <c r="K6" s="98"/>
    </row>
    <row r="7" customFormat="false" ht="16.5" hidden="false" customHeight="true" outlineLevel="0" collapsed="false">
      <c r="B7" s="113" t="s">
        <v>217</v>
      </c>
      <c r="C7" s="587" t="n">
        <f aca="false">IF($C$4="FIXED",'Master Revenue'!$D7*D7,'Master Revenue'!I7*D7)</f>
        <v>467490.852975</v>
      </c>
      <c r="D7" s="596" t="n">
        <f aca="false">'Gaming · Costs'!C29/'Gaming · Revenue'!D58</f>
        <v>0.467024598966622</v>
      </c>
      <c r="E7" s="597" t="n">
        <f aca="false">'Master Revenue'!I7-C7</f>
        <v>533507.497025</v>
      </c>
      <c r="F7" s="598" t="n">
        <f aca="false">'Master Revenue'!F7*$D7</f>
        <v>373992.68238</v>
      </c>
      <c r="G7" s="598" t="n">
        <f aca="false">'Master Revenue'!G7*$D7</f>
        <v>420741.7676775</v>
      </c>
      <c r="H7" s="599" t="n">
        <f aca="false">'Master Revenue'!H7*$D7</f>
        <v>467490.852975</v>
      </c>
      <c r="I7" s="590" t="n">
        <f aca="false">'Master Revenue'!H7-H7</f>
        <v>533507.497025</v>
      </c>
      <c r="J7" s="600" t="n">
        <f aca="false">I7/'Master Revenue'!H7</f>
        <v>0.532975401033378</v>
      </c>
    </row>
    <row r="8" customFormat="false" ht="16.5" hidden="false" customHeight="true" outlineLevel="0" collapsed="false">
      <c r="B8" s="113" t="s">
        <v>218</v>
      </c>
      <c r="C8" s="587" t="n">
        <f aca="false">IF($C$4="FIXED",'Master Revenue'!$D8*D8,'Master Revenue'!I8*D8)</f>
        <v>397928</v>
      </c>
      <c r="D8" s="596" t="n">
        <f aca="false">'Events · Costs'!C20/'Events · Revenue'!E18</f>
        <v>0.329899437079779</v>
      </c>
      <c r="E8" s="597" t="n">
        <f aca="false">'Master Revenue'!I8-C8</f>
        <v>808282</v>
      </c>
      <c r="F8" s="598" t="n">
        <f aca="false">'Master Revenue'!F8*$D8</f>
        <v>318342.4</v>
      </c>
      <c r="G8" s="598" t="n">
        <f aca="false">'Master Revenue'!G8*$D8</f>
        <v>358135.2</v>
      </c>
      <c r="H8" s="599" t="n">
        <f aca="false">'Master Revenue'!H8*$D8</f>
        <v>397928</v>
      </c>
      <c r="I8" s="590" t="n">
        <f aca="false">'Master Revenue'!H8-H8</f>
        <v>808282</v>
      </c>
      <c r="J8" s="600" t="n">
        <f aca="false">I8/'Master Revenue'!H8</f>
        <v>0.670100562920221</v>
      </c>
    </row>
    <row r="9" customFormat="false" ht="16.5" hidden="false" customHeight="true" outlineLevel="0" collapsed="false">
      <c r="B9" s="113" t="s">
        <v>145</v>
      </c>
      <c r="C9" s="587" t="n">
        <f aca="false">IF($C$4="FIXED",'Master Revenue'!$D9*D9,'Master Revenue'!I9*D9)</f>
        <v>513022</v>
      </c>
      <c r="D9" s="596" t="n">
        <f aca="false">'Academy · Costs'!C24/'Academy · Revenue'!E17</f>
        <v>0.321629771734156</v>
      </c>
      <c r="E9" s="597" t="n">
        <f aca="false">'Master Revenue'!I9-C9</f>
        <v>1082048</v>
      </c>
      <c r="F9" s="598" t="n">
        <f aca="false">'Master Revenue'!F9*$D9</f>
        <v>410417.6</v>
      </c>
      <c r="G9" s="598" t="n">
        <f aca="false">'Master Revenue'!G9*$D9</f>
        <v>461719.8</v>
      </c>
      <c r="H9" s="599" t="n">
        <f aca="false">'Master Revenue'!H9*$D9</f>
        <v>513022</v>
      </c>
      <c r="I9" s="590" t="n">
        <f aca="false">'Master Revenue'!H9-H9</f>
        <v>1082048</v>
      </c>
      <c r="J9" s="600" t="n">
        <f aca="false">I9/'Master Revenue'!H9</f>
        <v>0.678370228265844</v>
      </c>
    </row>
    <row r="10" customFormat="false" ht="16.5" hidden="false" customHeight="true" outlineLevel="0" collapsed="false">
      <c r="B10" s="113" t="s">
        <v>219</v>
      </c>
      <c r="C10" s="587" t="n">
        <f aca="false">IF($C$4="FIXED",'Master Revenue'!$D10*D10,'Master Revenue'!I10*D10)</f>
        <v>215998.4</v>
      </c>
      <c r="D10" s="596" t="n">
        <f aca="false">'Esports · Costs'!C23/'Esports · Revenue'!E12</f>
        <v>0.311391057589896</v>
      </c>
      <c r="E10" s="597" t="n">
        <f aca="false">'Master Revenue'!I10-C10</f>
        <v>477658</v>
      </c>
      <c r="F10" s="598" t="n">
        <f aca="false">'Master Revenue'!F10*$D10</f>
        <v>172798.72</v>
      </c>
      <c r="G10" s="598" t="n">
        <f aca="false">'Master Revenue'!G10*$D10</f>
        <v>194398.56</v>
      </c>
      <c r="H10" s="599" t="n">
        <f aca="false">'Master Revenue'!H10*$D10</f>
        <v>215998.4</v>
      </c>
      <c r="I10" s="590" t="n">
        <f aca="false">'Master Revenue'!H10-H10</f>
        <v>477658</v>
      </c>
      <c r="J10" s="600" t="n">
        <f aca="false">I10/'Master Revenue'!H10</f>
        <v>0.688608942410104</v>
      </c>
    </row>
    <row r="11" customFormat="false" ht="16.5" hidden="false" customHeight="true" outlineLevel="0" collapsed="false">
      <c r="B11" s="113" t="s">
        <v>151</v>
      </c>
      <c r="C11" s="587" t="n">
        <f aca="false">IF($C$4="FIXED",'Master Revenue'!$D11*D11,'Master Revenue'!I11*D11)</f>
        <v>249036.2</v>
      </c>
      <c r="D11" s="596" t="n">
        <f aca="false">'Museum · Costs'!C24/'Museum · Revenue'!E24</f>
        <v>0.50940867885756</v>
      </c>
      <c r="E11" s="597" t="n">
        <f aca="false">'Master Revenue'!I11-C11</f>
        <v>239836.9</v>
      </c>
      <c r="F11" s="598" t="n">
        <f aca="false">'Master Revenue'!F11*$D11</f>
        <v>199228.96</v>
      </c>
      <c r="G11" s="598" t="n">
        <f aca="false">'Master Revenue'!G11*$D11</f>
        <v>224132.58</v>
      </c>
      <c r="H11" s="599" t="n">
        <f aca="false">'Master Revenue'!H11*$D11</f>
        <v>249036.2</v>
      </c>
      <c r="I11" s="590" t="n">
        <f aca="false">'Master Revenue'!H11-H11</f>
        <v>239836.9</v>
      </c>
      <c r="J11" s="600" t="n">
        <f aca="false">I11/'Master Revenue'!H11</f>
        <v>0.49059132114244</v>
      </c>
    </row>
    <row r="12" customFormat="false" ht="16.5" hidden="false" customHeight="true" outlineLevel="0" collapsed="false">
      <c r="B12" s="113" t="s">
        <v>157</v>
      </c>
      <c r="C12" s="587" t="n">
        <f aca="false">IF($C$4="FIXED",'Master Revenue'!$D12*D12,'Master Revenue'!I12*D12)</f>
        <v>27920</v>
      </c>
      <c r="D12" s="596" t="n">
        <f aca="false">'Subleasing · Costs'!C16/'Subleasing · Revenue'!E30</f>
        <v>0.0869781931464174</v>
      </c>
      <c r="E12" s="597" t="n">
        <f aca="false">'Master Revenue'!I12-C12</f>
        <v>293080</v>
      </c>
      <c r="F12" s="598" t="n">
        <f aca="false">'Master Revenue'!F12*$D12</f>
        <v>22336</v>
      </c>
      <c r="G12" s="598" t="n">
        <f aca="false">'Master Revenue'!G12*$D12</f>
        <v>25128</v>
      </c>
      <c r="H12" s="599" t="n">
        <f aca="false">'Master Revenue'!H12*$D12</f>
        <v>27920</v>
      </c>
      <c r="I12" s="590" t="n">
        <f aca="false">'Master Revenue'!H12-H12</f>
        <v>293080</v>
      </c>
      <c r="J12" s="600" t="n">
        <f aca="false">I12/'Master Revenue'!H12</f>
        <v>0.913021806853583</v>
      </c>
    </row>
    <row r="13" customFormat="false" ht="16.5" hidden="false" customHeight="true" outlineLevel="0" collapsed="false">
      <c r="B13" s="113" t="s">
        <v>143</v>
      </c>
      <c r="C13" s="587" t="n">
        <f aca="false">IF($C$4="FIXED",'Master Revenue'!$D13*D13,'Master Revenue'!I13*D13)</f>
        <v>579443.776</v>
      </c>
      <c r="D13" s="596" t="n">
        <f aca="false">'F&amp;B · Costs'!C30/'F&amp;B · Revenue'!E29</f>
        <v>0.733738487450462</v>
      </c>
      <c r="E13" s="597" t="n">
        <f aca="false">'Master Revenue'!I13-C13</f>
        <v>210270.524</v>
      </c>
      <c r="F13" s="598" t="n">
        <f aca="false">'Master Revenue'!F13*$D13</f>
        <v>463555.0208</v>
      </c>
      <c r="G13" s="598" t="n">
        <f aca="false">'Master Revenue'!G13*$D13</f>
        <v>521499.3984</v>
      </c>
      <c r="H13" s="599" t="n">
        <f aca="false">'Master Revenue'!H13*$D13</f>
        <v>579443.776</v>
      </c>
      <c r="I13" s="590" t="n">
        <f aca="false">'Master Revenue'!H13-H13</f>
        <v>210270.524</v>
      </c>
      <c r="J13" s="600" t="n">
        <f aca="false">I13/'Master Revenue'!H13</f>
        <v>0.266261512549538</v>
      </c>
    </row>
    <row r="14" customFormat="false" ht="16.5" hidden="false" customHeight="true" outlineLevel="0" collapsed="false">
      <c r="B14" s="113" t="s">
        <v>153</v>
      </c>
      <c r="C14" s="587" t="n">
        <f aca="false">IF($C$4="FIXED",'Master Revenue'!$D14*D14,'Master Revenue'!I14*D14)</f>
        <v>105960</v>
      </c>
      <c r="D14" s="596" t="n">
        <f aca="false">'Sponsorships · Costs'!C16/'Sponsorships · Revenue'!E27</f>
        <v>0.369198606271777</v>
      </c>
      <c r="E14" s="597" t="n">
        <f aca="false">'Master Revenue'!I14-C14</f>
        <v>181040</v>
      </c>
      <c r="F14" s="598" t="n">
        <f aca="false">'Master Revenue'!F14*$D14</f>
        <v>84768</v>
      </c>
      <c r="G14" s="598" t="n">
        <f aca="false">'Master Revenue'!G14*$D14</f>
        <v>95364</v>
      </c>
      <c r="H14" s="599" t="n">
        <f aca="false">'Master Revenue'!H14*$D14</f>
        <v>105960</v>
      </c>
      <c r="I14" s="590" t="n">
        <f aca="false">'Master Revenue'!H14-H14</f>
        <v>181040</v>
      </c>
      <c r="J14" s="600" t="n">
        <f aca="false">I14/'Master Revenue'!H14</f>
        <v>0.630801393728223</v>
      </c>
    </row>
    <row r="15" customFormat="false" ht="16.5" hidden="false" customHeight="true" outlineLevel="0" collapsed="false">
      <c r="B15" s="113" t="s">
        <v>155</v>
      </c>
      <c r="C15" s="587" t="n">
        <f aca="false">IF($C$4="FIXED",'Master Revenue'!$D15*D15,'Master Revenue'!I15*D15)</f>
        <v>92500</v>
      </c>
      <c r="D15" s="596" t="n">
        <f aca="false">'Borderless · Costs'!C17/'Borderless · Revenue'!E21</f>
        <v>0.319516407599309</v>
      </c>
      <c r="E15" s="597" t="n">
        <f aca="false">'Master Revenue'!I15-C15</f>
        <v>197000</v>
      </c>
      <c r="F15" s="598" t="n">
        <f aca="false">'Master Revenue'!F15*$D15</f>
        <v>74000</v>
      </c>
      <c r="G15" s="598" t="n">
        <f aca="false">'Master Revenue'!G15*$D15</f>
        <v>83250</v>
      </c>
      <c r="H15" s="599" t="n">
        <f aca="false">'Master Revenue'!H15*$D15</f>
        <v>92500</v>
      </c>
      <c r="I15" s="590" t="n">
        <f aca="false">'Master Revenue'!H15-H15</f>
        <v>197000</v>
      </c>
      <c r="J15" s="600" t="n">
        <f aca="false">I15/'Master Revenue'!H15</f>
        <v>0.680483592400691</v>
      </c>
    </row>
    <row r="16" customFormat="false" ht="15" hidden="false" customHeight="true" outlineLevel="0" collapsed="false">
      <c r="B16" s="6"/>
    </row>
    <row r="17" customFormat="false" ht="24" hidden="false" customHeight="true" outlineLevel="0" collapsed="false">
      <c r="B17" s="117" t="s">
        <v>220</v>
      </c>
      <c r="C17" s="440" t="n">
        <f aca="false">SUM(C7:C15)</f>
        <v>2649299.228975</v>
      </c>
      <c r="E17" s="440" t="n">
        <f aca="false">SUM(E7:E15)</f>
        <v>4022722.921025</v>
      </c>
      <c r="F17" s="440" t="n">
        <f aca="false">SUM(F7:F15)</f>
        <v>2119439.38318</v>
      </c>
      <c r="G17" s="440" t="n">
        <f aca="false">SUM(G7:G15)</f>
        <v>2384369.3060775</v>
      </c>
      <c r="H17" s="440" t="n">
        <f aca="false">SUM(H7:H15)</f>
        <v>2649299.228975</v>
      </c>
      <c r="I17" s="440" t="n">
        <f aca="false">SUM(I7:I15)</f>
        <v>4022722.921025</v>
      </c>
      <c r="J17" s="601" t="n">
        <f aca="false">I17/'Master Revenue'!H17</f>
        <v>0.602924095661913</v>
      </c>
    </row>
    <row r="18" customFormat="false" ht="63.75" hidden="false" customHeight="true" outlineLevel="0" collapsed="false">
      <c r="B18" s="602" t="s">
        <v>2032</v>
      </c>
      <c r="C18" s="602"/>
      <c r="D18" s="602"/>
      <c r="E18" s="602"/>
      <c r="F18" s="602"/>
      <c r="G18" s="602"/>
      <c r="H18" s="602"/>
      <c r="I18" s="602"/>
      <c r="J18" s="602"/>
      <c r="K18" s="602"/>
    </row>
    <row r="19" customFormat="false" ht="15" hidden="false" customHeight="true" outlineLevel="0" collapsed="false">
      <c r="B19" s="6"/>
    </row>
    <row r="20" customFormat="false" ht="33.75" hidden="false" customHeight="true" outlineLevel="0" collapsed="false">
      <c r="B20" s="96" t="s">
        <v>2033</v>
      </c>
      <c r="C20" s="96"/>
      <c r="D20" s="96"/>
      <c r="E20" s="96"/>
      <c r="F20" s="96"/>
      <c r="G20" s="96"/>
      <c r="H20" s="96"/>
      <c r="I20" s="96"/>
      <c r="J20" s="96"/>
      <c r="K20" s="96"/>
    </row>
    <row r="21" customFormat="false" ht="15" hidden="false" customHeight="true" outlineLevel="0" collapsed="false">
      <c r="B21" s="97" t="s">
        <v>136</v>
      </c>
      <c r="C21" s="98" t="s">
        <v>2034</v>
      </c>
      <c r="D21" s="551" t="s">
        <v>778</v>
      </c>
    </row>
    <row r="22" customFormat="false" ht="16.5" hidden="false" customHeight="true" outlineLevel="0" collapsed="false">
      <c r="B22" s="113" t="s">
        <v>217</v>
      </c>
      <c r="C22" s="603" t="n">
        <f aca="false">D7</f>
        <v>0.467024598966622</v>
      </c>
      <c r="D22" s="565" t="s">
        <v>2035</v>
      </c>
    </row>
    <row r="23" customFormat="false" ht="16.5" hidden="false" customHeight="true" outlineLevel="0" collapsed="false">
      <c r="B23" s="113" t="s">
        <v>218</v>
      </c>
      <c r="C23" s="603" t="n">
        <f aca="false">D8</f>
        <v>0.329899437079779</v>
      </c>
      <c r="D23" s="565" t="s">
        <v>2036</v>
      </c>
    </row>
    <row r="24" customFormat="false" ht="16.5" hidden="false" customHeight="true" outlineLevel="0" collapsed="false">
      <c r="B24" s="113" t="s">
        <v>145</v>
      </c>
      <c r="C24" s="603" t="n">
        <f aca="false">D9</f>
        <v>0.321629771734156</v>
      </c>
      <c r="D24" s="565" t="s">
        <v>2037</v>
      </c>
    </row>
    <row r="25" customFormat="false" ht="16.5" hidden="false" customHeight="true" outlineLevel="0" collapsed="false">
      <c r="B25" s="113" t="s">
        <v>219</v>
      </c>
      <c r="C25" s="603" t="n">
        <f aca="false">D10</f>
        <v>0.311391057589896</v>
      </c>
      <c r="D25" s="565" t="s">
        <v>2038</v>
      </c>
    </row>
    <row r="26" customFormat="false" ht="16.5" hidden="false" customHeight="true" outlineLevel="0" collapsed="false">
      <c r="B26" s="113" t="s">
        <v>151</v>
      </c>
      <c r="C26" s="603" t="n">
        <f aca="false">D11</f>
        <v>0.50940867885756</v>
      </c>
      <c r="D26" s="565" t="s">
        <v>2039</v>
      </c>
    </row>
    <row r="27" customFormat="false" ht="16.5" hidden="false" customHeight="true" outlineLevel="0" collapsed="false">
      <c r="B27" s="113" t="s">
        <v>157</v>
      </c>
      <c r="C27" s="603" t="n">
        <f aca="false">D12</f>
        <v>0.0869781931464174</v>
      </c>
      <c r="D27" s="565" t="s">
        <v>2040</v>
      </c>
    </row>
    <row r="28" customFormat="false" ht="16.5" hidden="false" customHeight="true" outlineLevel="0" collapsed="false">
      <c r="B28" s="113" t="s">
        <v>143</v>
      </c>
      <c r="C28" s="603" t="n">
        <f aca="false">D13</f>
        <v>0.733738487450462</v>
      </c>
      <c r="D28" s="565" t="s">
        <v>2041</v>
      </c>
    </row>
    <row r="29" customFormat="false" ht="16.5" hidden="false" customHeight="true" outlineLevel="0" collapsed="false">
      <c r="B29" s="113" t="s">
        <v>153</v>
      </c>
      <c r="C29" s="603" t="n">
        <f aca="false">D14</f>
        <v>0.369198606271777</v>
      </c>
      <c r="D29" s="565" t="s">
        <v>2042</v>
      </c>
    </row>
    <row r="30" customFormat="false" ht="16.5" hidden="false" customHeight="true" outlineLevel="0" collapsed="false">
      <c r="B30" s="113" t="s">
        <v>155</v>
      </c>
      <c r="C30" s="603" t="n">
        <f aca="false">D15</f>
        <v>0.319516407599309</v>
      </c>
      <c r="D30" s="565" t="s">
        <v>2043</v>
      </c>
    </row>
    <row r="31" customFormat="false" ht="15" hidden="false" customHeight="true" outlineLevel="0" collapsed="false">
      <c r="B31" s="6"/>
    </row>
    <row r="32" customFormat="false" ht="15" hidden="false" customHeight="true" outlineLevel="0" collapsed="false">
      <c r="B32" s="6"/>
    </row>
    <row r="33" customFormat="false" ht="21.75" hidden="false" customHeight="true" outlineLevel="0" collapsed="false">
      <c r="B33" s="555" t="s">
        <v>2044</v>
      </c>
      <c r="C33" s="555"/>
      <c r="D33" s="555"/>
      <c r="E33" s="555"/>
      <c r="F33" s="555"/>
      <c r="G33" s="555"/>
      <c r="H33" s="555"/>
      <c r="I33" s="555"/>
      <c r="J33" s="555"/>
      <c r="K33" s="555"/>
    </row>
    <row r="34" customFormat="false" ht="120" hidden="false" customHeight="true" outlineLevel="0" collapsed="false">
      <c r="B34" s="604" t="s">
        <v>2045</v>
      </c>
      <c r="C34" s="604"/>
      <c r="D34" s="604"/>
      <c r="E34" s="604"/>
      <c r="F34" s="604"/>
      <c r="G34" s="604"/>
      <c r="H34" s="604"/>
      <c r="I34" s="604"/>
      <c r="J34" s="604"/>
      <c r="K34" s="604"/>
    </row>
    <row r="35" customFormat="false" ht="15" hidden="false" customHeight="true" outlineLevel="0" collapsed="false">
      <c r="B35" s="604"/>
      <c r="C35" s="604"/>
      <c r="D35" s="604"/>
      <c r="E35" s="604"/>
      <c r="F35" s="604"/>
      <c r="G35" s="604"/>
      <c r="H35" s="604"/>
      <c r="I35" s="604"/>
      <c r="J35" s="604"/>
      <c r="K35" s="604"/>
    </row>
    <row r="36" customFormat="false" ht="15" hidden="false" customHeight="true" outlineLevel="0" collapsed="false">
      <c r="B36" s="604"/>
      <c r="C36" s="604"/>
      <c r="D36" s="604"/>
      <c r="E36" s="604"/>
      <c r="F36" s="604"/>
      <c r="G36" s="604"/>
      <c r="H36" s="604"/>
      <c r="I36" s="604"/>
      <c r="J36" s="604"/>
      <c r="K36" s="604"/>
    </row>
    <row r="37" customFormat="false" ht="15" hidden="false" customHeight="true" outlineLevel="0" collapsed="false">
      <c r="B37" s="604"/>
      <c r="C37" s="604"/>
      <c r="D37" s="604"/>
      <c r="E37" s="604"/>
      <c r="F37" s="604"/>
      <c r="G37" s="604"/>
      <c r="H37" s="604"/>
      <c r="I37" s="604"/>
      <c r="J37" s="604"/>
      <c r="K37" s="604"/>
    </row>
    <row r="38" customFormat="false" ht="15" hidden="false" customHeight="true" outlineLevel="0" collapsed="false">
      <c r="B38" s="6"/>
    </row>
    <row r="39" customFormat="false" ht="15" hidden="false" customHeight="true" outlineLevel="0" collapsed="false">
      <c r="B39" s="6"/>
    </row>
    <row r="40" customFormat="false" ht="33.75" hidden="false" customHeight="true" outlineLevel="0" collapsed="false">
      <c r="B40" s="51" t="s">
        <v>2046</v>
      </c>
      <c r="C40" s="51"/>
      <c r="D40" s="51"/>
      <c r="E40" s="51"/>
      <c r="F40" s="51"/>
      <c r="G40" s="51"/>
      <c r="H40" s="51"/>
      <c r="I40" s="51"/>
      <c r="J40" s="51"/>
      <c r="K40" s="51"/>
    </row>
    <row r="41" customFormat="false" ht="21.75" hidden="false" customHeight="true" outlineLevel="0" collapsed="false">
      <c r="B41" s="97" t="s">
        <v>2047</v>
      </c>
      <c r="C41" s="98" t="s">
        <v>2048</v>
      </c>
      <c r="D41" s="551" t="s">
        <v>778</v>
      </c>
    </row>
    <row r="42" customFormat="false" ht="16.5" hidden="false" customHeight="true" outlineLevel="0" collapsed="false">
      <c r="B42" s="113" t="s">
        <v>2049</v>
      </c>
      <c r="C42" s="605" t="n">
        <v>95000</v>
      </c>
      <c r="D42" s="565" t="s">
        <v>2050</v>
      </c>
    </row>
    <row r="43" customFormat="false" ht="16.5" hidden="false" customHeight="true" outlineLevel="0" collapsed="false">
      <c r="B43" s="113" t="s">
        <v>2051</v>
      </c>
      <c r="C43" s="605" t="n">
        <v>57000</v>
      </c>
      <c r="D43" s="565" t="s">
        <v>2052</v>
      </c>
    </row>
    <row r="44" customFormat="false" ht="16.5" hidden="false" customHeight="true" outlineLevel="0" collapsed="false">
      <c r="B44" s="113" t="s">
        <v>2053</v>
      </c>
      <c r="C44" s="605" t="n">
        <v>190000</v>
      </c>
      <c r="D44" s="565" t="s">
        <v>2054</v>
      </c>
    </row>
    <row r="45" customFormat="false" ht="16.5" hidden="false" customHeight="true" outlineLevel="0" collapsed="false">
      <c r="B45" s="113" t="s">
        <v>2055</v>
      </c>
      <c r="C45" s="605" t="n">
        <v>47500</v>
      </c>
      <c r="D45" s="565" t="s">
        <v>2056</v>
      </c>
    </row>
    <row r="46" customFormat="false" ht="24" hidden="false" customHeight="true" outlineLevel="0" collapsed="false">
      <c r="B46" s="126" t="s">
        <v>2057</v>
      </c>
      <c r="C46" s="605" t="n">
        <v>33250</v>
      </c>
      <c r="D46" s="565" t="s">
        <v>2058</v>
      </c>
    </row>
    <row r="47" customFormat="false" ht="74.25" hidden="false" customHeight="true" outlineLevel="0" collapsed="false">
      <c r="B47" s="113" t="s">
        <v>2059</v>
      </c>
      <c r="C47" s="605" t="n">
        <v>28500</v>
      </c>
      <c r="D47" s="565" t="s">
        <v>2060</v>
      </c>
    </row>
    <row r="48" customFormat="false" ht="21.75" hidden="false" customHeight="true" outlineLevel="0" collapsed="false">
      <c r="B48" s="126" t="s">
        <v>2061</v>
      </c>
      <c r="C48" s="605" t="n">
        <v>28500</v>
      </c>
      <c r="D48" s="565" t="s">
        <v>2062</v>
      </c>
    </row>
    <row r="49" customFormat="false" ht="18" hidden="false" customHeight="true" outlineLevel="0" collapsed="false">
      <c r="B49" s="126" t="s">
        <v>2063</v>
      </c>
      <c r="C49" s="605" t="n">
        <v>19000</v>
      </c>
      <c r="D49" s="565" t="s">
        <v>2064</v>
      </c>
    </row>
    <row r="50" customFormat="false" ht="18" hidden="false" customHeight="true" outlineLevel="0" collapsed="false">
      <c r="B50" s="126" t="s">
        <v>2065</v>
      </c>
      <c r="C50" s="606" t="n">
        <v>700000</v>
      </c>
      <c r="D50" s="538" t="s">
        <v>2066</v>
      </c>
    </row>
    <row r="51" customFormat="false" ht="33.75" hidden="false" customHeight="true" outlineLevel="0" collapsed="false">
      <c r="B51" s="126" t="s">
        <v>2067</v>
      </c>
      <c r="C51" s="606" t="n">
        <v>132840</v>
      </c>
      <c r="D51" s="538" t="s">
        <v>2068</v>
      </c>
    </row>
    <row r="52" customFormat="false" ht="33.75" hidden="false" customHeight="true" outlineLevel="0" collapsed="false">
      <c r="B52" s="126" t="s">
        <v>2069</v>
      </c>
      <c r="C52" s="606" t="n">
        <f aca="false">0.03*'Exec Summary'!C12</f>
        <v>200160.6645</v>
      </c>
      <c r="D52" s="538" t="s">
        <v>2070</v>
      </c>
    </row>
    <row r="53" customFormat="false" ht="17.25" hidden="false" customHeight="true" outlineLevel="0" collapsed="false">
      <c r="B53" s="126" t="s">
        <v>2071</v>
      </c>
      <c r="C53" s="607" t="n">
        <v>150000</v>
      </c>
      <c r="D53" s="538" t="s">
        <v>2072</v>
      </c>
    </row>
    <row r="54" customFormat="false" ht="15" hidden="false" customHeight="true" outlineLevel="0" collapsed="false">
      <c r="B54" s="126" t="s">
        <v>2073</v>
      </c>
      <c r="C54" s="607" t="n">
        <v>79800</v>
      </c>
      <c r="D54" s="538" t="s">
        <v>2074</v>
      </c>
    </row>
    <row r="55" customFormat="false" ht="21.75" hidden="false" customHeight="true" outlineLevel="0" collapsed="false">
      <c r="B55" s="117" t="s">
        <v>2075</v>
      </c>
      <c r="C55" s="608" t="n">
        <f aca="false">SUM(C42:C54)</f>
        <v>1761550.6645</v>
      </c>
    </row>
    <row r="56" customFormat="false" ht="15" hidden="false" customHeight="true" outlineLevel="0" collapsed="false">
      <c r="B56" s="6"/>
    </row>
    <row r="57" customFormat="false" ht="33.75" hidden="false" customHeight="true" outlineLevel="0" collapsed="false">
      <c r="B57" s="609" t="s">
        <v>2076</v>
      </c>
    </row>
    <row r="58" customFormat="false" ht="15" hidden="false" customHeight="true" outlineLevel="0" collapsed="false">
      <c r="B58" s="126" t="s">
        <v>226</v>
      </c>
      <c r="C58" s="577" t="n">
        <f aca="false">I17</f>
        <v>4022722.921025</v>
      </c>
    </row>
    <row r="59" customFormat="false" ht="15" hidden="false" customHeight="true" outlineLevel="0" collapsed="false">
      <c r="B59" s="113" t="s">
        <v>2077</v>
      </c>
      <c r="C59" s="610" t="n">
        <f aca="false">-C55</f>
        <v>-1761550.6645</v>
      </c>
    </row>
    <row r="60" customFormat="false" ht="33.75" hidden="false" customHeight="true" outlineLevel="0" collapsed="false">
      <c r="B60" s="100" t="s">
        <v>2078</v>
      </c>
      <c r="C60" s="611" t="n">
        <f aca="false">C58+C59</f>
        <v>2261172.256525</v>
      </c>
    </row>
    <row r="61" customFormat="false" ht="15" hidden="false" customHeight="true" outlineLevel="0" collapsed="false">
      <c r="B61" s="104" t="s">
        <v>2079</v>
      </c>
      <c r="C61" s="612" t="n">
        <f aca="false">C60/'Master Revenue'!D17</f>
        <v>0.338903589599894</v>
      </c>
    </row>
    <row r="62" customFormat="false" ht="15" hidden="false" customHeight="true" outlineLevel="0" collapsed="false">
      <c r="B62" s="6"/>
    </row>
    <row r="63" customFormat="false" ht="15" hidden="false" customHeight="true" outlineLevel="0" collapsed="false">
      <c r="B63" s="6"/>
    </row>
    <row r="64" customFormat="false" ht="15" hidden="false" customHeight="true" outlineLevel="0" collapsed="false">
      <c r="B64" s="6"/>
    </row>
    <row r="65" customFormat="false" ht="15" hidden="false" customHeight="true" outlineLevel="0" collapsed="false">
      <c r="B65" s="6"/>
    </row>
    <row r="66" customFormat="false" ht="15" hidden="false" customHeight="true" outlineLevel="0" collapsed="false">
      <c r="B66" s="6"/>
    </row>
    <row r="67" customFormat="false" ht="15" hidden="false" customHeight="true" outlineLevel="0" collapsed="false">
      <c r="B67" s="613"/>
    </row>
    <row r="68" customFormat="false" ht="15" hidden="false" customHeight="true" outlineLevel="0" collapsed="false">
      <c r="B68" s="613"/>
    </row>
  </sheetData>
  <mergeCells count="9">
    <mergeCell ref="B2:G2"/>
    <mergeCell ref="H2:K2"/>
    <mergeCell ref="B3:K3"/>
    <mergeCell ref="B5:K5"/>
    <mergeCell ref="B18:K18"/>
    <mergeCell ref="B20:K20"/>
    <mergeCell ref="B33:K33"/>
    <mergeCell ref="B34:K37"/>
    <mergeCell ref="B40:K40"/>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3"/>
  </cols>
  <sheetData>
    <row r="1" customFormat="false" ht="15" hidden="false" customHeight="true" outlineLevel="0" collapsed="false">
      <c r="B1" s="6"/>
      <c r="E1" s="6"/>
    </row>
    <row r="2" customFormat="false" ht="33.75" hidden="false" customHeight="true" outlineLevel="0" collapsed="false">
      <c r="B2" s="155" t="s">
        <v>2080</v>
      </c>
      <c r="E2" s="6"/>
    </row>
    <row r="3" customFormat="false" ht="33.75" hidden="false" customHeight="true" outlineLevel="0" collapsed="false">
      <c r="B3" s="614" t="s">
        <v>2081</v>
      </c>
      <c r="E3" s="6"/>
    </row>
    <row r="4" customFormat="false" ht="15" hidden="false" customHeight="true" outlineLevel="0" collapsed="false">
      <c r="B4" s="6"/>
      <c r="E4" s="6"/>
    </row>
    <row r="5" customFormat="false" ht="33.75" hidden="false" customHeight="true" outlineLevel="0" collapsed="false">
      <c r="B5" s="615" t="s">
        <v>2082</v>
      </c>
      <c r="E5" s="6"/>
    </row>
    <row r="6" customFormat="false" ht="15" hidden="false" customHeight="true" outlineLevel="0" collapsed="false">
      <c r="B6" s="616" t="s">
        <v>136</v>
      </c>
      <c r="C6" s="617" t="s">
        <v>137</v>
      </c>
      <c r="D6" s="617" t="s">
        <v>2025</v>
      </c>
      <c r="E6" s="616" t="s">
        <v>2083</v>
      </c>
      <c r="F6" s="617" t="s">
        <v>138</v>
      </c>
      <c r="G6" s="617" t="s">
        <v>2084</v>
      </c>
    </row>
    <row r="7" customFormat="false" ht="15" hidden="false" customHeight="true" outlineLevel="0" collapsed="false">
      <c r="B7" s="6" t="s">
        <v>217</v>
      </c>
      <c r="C7" s="142" t="n">
        <f aca="false">'Master Revenue'!D7</f>
        <v>1000998.35</v>
      </c>
      <c r="D7" s="142" t="n">
        <f aca="false">'Master Cost'!C7</f>
        <v>467490.852975</v>
      </c>
      <c r="E7" s="276" t="n">
        <f aca="false">'Master Cost'!D7</f>
        <v>0.467024598966622</v>
      </c>
      <c r="F7" s="142" t="n">
        <f aca="false">'Master Cost'!I7</f>
        <v>533507.497025</v>
      </c>
      <c r="G7" s="177" t="n">
        <f aca="false">'Master Cost'!I7/'Master Revenue'!D7</f>
        <v>0.532975401033378</v>
      </c>
    </row>
    <row r="8" customFormat="false" ht="15" hidden="false" customHeight="true" outlineLevel="0" collapsed="false">
      <c r="B8" s="6" t="s">
        <v>218</v>
      </c>
      <c r="C8" s="142" t="n">
        <f aca="false">'Master Revenue'!D8</f>
        <v>1206210</v>
      </c>
      <c r="D8" s="142" t="n">
        <f aca="false">'Master Cost'!C8</f>
        <v>397928</v>
      </c>
      <c r="E8" s="276" t="n">
        <f aca="false">'Master Cost'!D8</f>
        <v>0.329899437079779</v>
      </c>
      <c r="F8" s="142" t="n">
        <f aca="false">'Master Cost'!I8</f>
        <v>808282</v>
      </c>
      <c r="G8" s="177" t="n">
        <f aca="false">'Master Cost'!I8/'Master Revenue'!D8</f>
        <v>0.670100562920221</v>
      </c>
    </row>
    <row r="9" customFormat="false" ht="15" hidden="false" customHeight="true" outlineLevel="0" collapsed="false">
      <c r="B9" s="6" t="s">
        <v>145</v>
      </c>
      <c r="C9" s="142" t="n">
        <f aca="false">'Master Revenue'!D9</f>
        <v>1595070</v>
      </c>
      <c r="D9" s="142" t="n">
        <f aca="false">'Master Cost'!C9</f>
        <v>513022</v>
      </c>
      <c r="E9" s="276" t="n">
        <f aca="false">'Master Cost'!D9</f>
        <v>0.321629771734156</v>
      </c>
      <c r="F9" s="142" t="n">
        <f aca="false">'Master Cost'!I9</f>
        <v>1082048</v>
      </c>
      <c r="G9" s="177" t="n">
        <f aca="false">'Master Cost'!I9/'Master Revenue'!D9</f>
        <v>0.678370228265844</v>
      </c>
    </row>
    <row r="10" customFormat="false" ht="15" hidden="false" customHeight="true" outlineLevel="0" collapsed="false">
      <c r="B10" s="6" t="s">
        <v>219</v>
      </c>
      <c r="C10" s="142" t="n">
        <f aca="false">'Master Revenue'!D10</f>
        <v>693656.4</v>
      </c>
      <c r="D10" s="142" t="n">
        <f aca="false">'Master Cost'!C10</f>
        <v>215998.4</v>
      </c>
      <c r="E10" s="276" t="n">
        <f aca="false">'Master Cost'!D10</f>
        <v>0.311391057589896</v>
      </c>
      <c r="F10" s="142" t="n">
        <f aca="false">'Master Cost'!I10</f>
        <v>477658</v>
      </c>
      <c r="G10" s="177" t="n">
        <f aca="false">'Master Cost'!I10/'Master Revenue'!D10</f>
        <v>0.688608942410104</v>
      </c>
    </row>
    <row r="11" customFormat="false" ht="15" hidden="false" customHeight="true" outlineLevel="0" collapsed="false">
      <c r="B11" s="6" t="s">
        <v>151</v>
      </c>
      <c r="C11" s="142" t="n">
        <f aca="false">'Master Revenue'!D11</f>
        <v>488873.1</v>
      </c>
      <c r="D11" s="142" t="n">
        <f aca="false">'Master Cost'!C11</f>
        <v>249036.2</v>
      </c>
      <c r="E11" s="276" t="n">
        <f aca="false">'Master Cost'!D11</f>
        <v>0.50940867885756</v>
      </c>
      <c r="F11" s="142" t="n">
        <f aca="false">'Master Cost'!I11</f>
        <v>239836.9</v>
      </c>
      <c r="G11" s="177" t="n">
        <f aca="false">'Master Cost'!I11/'Master Revenue'!D11</f>
        <v>0.49059132114244</v>
      </c>
    </row>
    <row r="12" customFormat="false" ht="15" hidden="false" customHeight="true" outlineLevel="0" collapsed="false">
      <c r="B12" s="6" t="s">
        <v>157</v>
      </c>
      <c r="C12" s="142" t="n">
        <f aca="false">'Master Revenue'!D12</f>
        <v>321000</v>
      </c>
      <c r="D12" s="142" t="n">
        <f aca="false">'Master Cost'!C12</f>
        <v>27920</v>
      </c>
      <c r="E12" s="276" t="n">
        <f aca="false">'Master Cost'!D12</f>
        <v>0.0869781931464174</v>
      </c>
      <c r="F12" s="142" t="n">
        <f aca="false">'Master Cost'!I12</f>
        <v>293080</v>
      </c>
      <c r="G12" s="177" t="n">
        <f aca="false">'Master Cost'!I12/'Master Revenue'!D12</f>
        <v>0.913021806853583</v>
      </c>
    </row>
    <row r="13" customFormat="false" ht="15" hidden="false" customHeight="true" outlineLevel="0" collapsed="false">
      <c r="B13" s="6" t="s">
        <v>143</v>
      </c>
      <c r="C13" s="142" t="n">
        <f aca="false">'Master Revenue'!D13</f>
        <v>789714.3</v>
      </c>
      <c r="D13" s="142" t="n">
        <f aca="false">'Master Cost'!C13</f>
        <v>579443.776</v>
      </c>
      <c r="E13" s="276" t="n">
        <f aca="false">'Master Cost'!D13</f>
        <v>0.733738487450462</v>
      </c>
      <c r="F13" s="142" t="n">
        <f aca="false">'Master Cost'!I13</f>
        <v>210270.524</v>
      </c>
      <c r="G13" s="177" t="n">
        <f aca="false">'Master Cost'!I13/'Master Revenue'!D13</f>
        <v>0.266261512549538</v>
      </c>
    </row>
    <row r="14" customFormat="false" ht="15" hidden="false" customHeight="true" outlineLevel="0" collapsed="false">
      <c r="B14" s="6" t="s">
        <v>153</v>
      </c>
      <c r="C14" s="142" t="n">
        <f aca="false">'Master Revenue'!D14</f>
        <v>287000</v>
      </c>
      <c r="D14" s="142" t="n">
        <f aca="false">'Master Cost'!C14</f>
        <v>105960</v>
      </c>
      <c r="E14" s="276" t="n">
        <f aca="false">'Master Cost'!D14</f>
        <v>0.369198606271777</v>
      </c>
      <c r="F14" s="142" t="n">
        <f aca="false">'Master Cost'!I14</f>
        <v>181040</v>
      </c>
      <c r="G14" s="177" t="n">
        <f aca="false">'Master Cost'!I14/'Master Revenue'!D14</f>
        <v>0.630801393728223</v>
      </c>
    </row>
    <row r="15" customFormat="false" ht="15" hidden="false" customHeight="true" outlineLevel="0" collapsed="false">
      <c r="B15" s="6" t="s">
        <v>155</v>
      </c>
      <c r="C15" s="142" t="n">
        <f aca="false">'Master Revenue'!D15</f>
        <v>289500</v>
      </c>
      <c r="D15" s="142" t="n">
        <f aca="false">'Master Cost'!C15</f>
        <v>92500</v>
      </c>
      <c r="E15" s="276" t="n">
        <f aca="false">'Master Cost'!D15</f>
        <v>0.319516407599309</v>
      </c>
      <c r="F15" s="142" t="n">
        <f aca="false">'Master Cost'!I15</f>
        <v>197000</v>
      </c>
      <c r="G15" s="177" t="n">
        <f aca="false">'Master Cost'!I15/'Master Revenue'!D15</f>
        <v>0.680483592400691</v>
      </c>
    </row>
    <row r="16" customFormat="false" ht="15" hidden="false" customHeight="true" outlineLevel="0" collapsed="false">
      <c r="B16" s="618" t="s">
        <v>2085</v>
      </c>
      <c r="C16" s="619" t="n">
        <f aca="false">'Master Revenue'!D17</f>
        <v>6672022.15</v>
      </c>
      <c r="D16" s="619" t="n">
        <f aca="false">SUM(D7:D15)</f>
        <v>2649299.228975</v>
      </c>
      <c r="E16" s="620" t="n">
        <f aca="false">D16/C16</f>
        <v>0.397075904338087</v>
      </c>
      <c r="F16" s="619" t="n">
        <f aca="false">'Master Cost'!I17</f>
        <v>4022722.921025</v>
      </c>
      <c r="G16" s="621" t="n">
        <f aca="false">F16/C16</f>
        <v>0.602924095661913</v>
      </c>
    </row>
    <row r="17" customFormat="false" ht="15" hidden="false" customHeight="true" outlineLevel="0" collapsed="false">
      <c r="B17" s="6"/>
      <c r="E17" s="6"/>
    </row>
    <row r="18" customFormat="false" ht="33.75" hidden="false" customHeight="true" outlineLevel="0" collapsed="false">
      <c r="B18" s="615" t="s">
        <v>2086</v>
      </c>
      <c r="E18" s="6"/>
    </row>
    <row r="19" customFormat="false" ht="15" hidden="false" customHeight="true" outlineLevel="0" collapsed="false">
      <c r="B19" s="616" t="s">
        <v>2087</v>
      </c>
      <c r="C19" s="617"/>
      <c r="D19" s="617" t="s">
        <v>2088</v>
      </c>
      <c r="E19" s="616" t="s">
        <v>2089</v>
      </c>
      <c r="F19" s="617" t="s">
        <v>2090</v>
      </c>
    </row>
    <row r="20" customFormat="false" ht="33.75" hidden="false" customHeight="true" outlineLevel="0" collapsed="false">
      <c r="B20" s="6" t="s">
        <v>2091</v>
      </c>
      <c r="D20" s="142" t="n">
        <f aca="false">'Group OpEx'!C13</f>
        <v>451250</v>
      </c>
      <c r="E20" s="276" t="n">
        <f aca="false">'Group OpEx'!C13/'Master Cost'!C55</f>
        <v>0.256166347692352</v>
      </c>
      <c r="F20" s="177" t="n">
        <f aca="false">'Group OpEx'!C13/'Master Revenue'!D17</f>
        <v>0.0676331687537938</v>
      </c>
    </row>
    <row r="21" customFormat="false" ht="33.75" hidden="false" customHeight="true" outlineLevel="0" collapsed="false">
      <c r="B21" s="6" t="s">
        <v>2092</v>
      </c>
      <c r="D21" s="142" t="n">
        <f aca="false">'Group OpEx'!C21</f>
        <v>880340</v>
      </c>
      <c r="E21" s="276" t="n">
        <f aca="false">'Group OpEx'!C21/'Master Cost'!C55</f>
        <v>0.499752869867002</v>
      </c>
      <c r="F21" s="177" t="n">
        <f aca="false">'Group OpEx'!C21/'Master Revenue'!D17</f>
        <v>0.131945005608232</v>
      </c>
    </row>
    <row r="22" customFormat="false" ht="33.75" hidden="false" customHeight="true" outlineLevel="0" collapsed="false">
      <c r="B22" s="6" t="s">
        <v>2093</v>
      </c>
      <c r="D22" s="142" t="n">
        <f aca="false">'Group OpEx'!C28</f>
        <v>429960.6645</v>
      </c>
      <c r="E22" s="276" t="n">
        <f aca="false">'Group OpEx'!C28/'Master Cost'!C55</f>
        <v>0.244080782440646</v>
      </c>
      <c r="F22" s="177" t="n">
        <f aca="false">'Group OpEx'!C28/'Master Revenue'!D17</f>
        <v>0.0644423316999929</v>
      </c>
    </row>
    <row r="23" customFormat="false" ht="15" hidden="false" customHeight="true" outlineLevel="0" collapsed="false">
      <c r="B23" s="618" t="s">
        <v>2094</v>
      </c>
      <c r="C23" s="622"/>
      <c r="D23" s="619" t="n">
        <f aca="false">'Master Cost'!C55</f>
        <v>1761550.6645</v>
      </c>
      <c r="E23" s="620" t="n">
        <f aca="false">D23/D23</f>
        <v>1</v>
      </c>
      <c r="F23" s="621" t="n">
        <f aca="false">'Master Cost'!C55/'Master Revenue'!D17</f>
        <v>0.264020506062019</v>
      </c>
    </row>
    <row r="24" customFormat="false" ht="15" hidden="false" customHeight="true" outlineLevel="0" collapsed="false">
      <c r="B24" s="6"/>
      <c r="E24" s="6"/>
    </row>
    <row r="25" customFormat="false" ht="33.75" hidden="false" customHeight="true" outlineLevel="0" collapsed="false">
      <c r="B25" s="615" t="s">
        <v>2095</v>
      </c>
      <c r="E25" s="6"/>
    </row>
    <row r="26" customFormat="false" ht="15" hidden="false" customHeight="true" outlineLevel="0" collapsed="false">
      <c r="B26" s="6" t="s">
        <v>2096</v>
      </c>
      <c r="D26" s="142" t="n">
        <f aca="false">D16</f>
        <v>2649299.228975</v>
      </c>
      <c r="E26" s="6"/>
    </row>
    <row r="27" customFormat="false" ht="15" hidden="false" customHeight="true" outlineLevel="0" collapsed="false">
      <c r="B27" s="6" t="s">
        <v>2097</v>
      </c>
      <c r="D27" s="142" t="n">
        <f aca="false">D23</f>
        <v>1761550.6645</v>
      </c>
      <c r="E27" s="6"/>
    </row>
    <row r="28" customFormat="false" ht="15" hidden="false" customHeight="true" outlineLevel="0" collapsed="false">
      <c r="B28" s="623" t="s">
        <v>2098</v>
      </c>
      <c r="C28" s="624"/>
      <c r="D28" s="625" t="n">
        <f aca="false">D26+D27</f>
        <v>4410849.893475</v>
      </c>
      <c r="E28" s="623"/>
      <c r="F28" s="624"/>
      <c r="G28" s="624"/>
    </row>
    <row r="29" customFormat="false" ht="15" hidden="false" customHeight="true" outlineLevel="0" collapsed="false">
      <c r="B29" s="159" t="s">
        <v>2099</v>
      </c>
      <c r="D29" s="212" t="n">
        <f aca="false">D28/'Master Revenue'!I17</f>
        <v>0.661096410400106</v>
      </c>
      <c r="E29" s="6"/>
    </row>
    <row r="30" customFormat="false" ht="15" hidden="false" customHeight="true" outlineLevel="0" collapsed="false">
      <c r="B30" s="159" t="s">
        <v>2100</v>
      </c>
      <c r="D30" s="198" t="n">
        <f aca="false">'Master Revenue'!I17-D28</f>
        <v>2261172.256525</v>
      </c>
      <c r="E30" s="6"/>
    </row>
    <row r="31" customFormat="false" ht="15" hidden="false" customHeight="true" outlineLevel="0" collapsed="false">
      <c r="B31" s="159" t="s">
        <v>2101</v>
      </c>
      <c r="D31" s="212" t="n">
        <f aca="false">D30/'Master Revenue'!I17</f>
        <v>0.338903589599894</v>
      </c>
      <c r="E31" s="6"/>
    </row>
    <row r="32" customFormat="false" ht="15" hidden="false" customHeight="true" outlineLevel="0" collapsed="false">
      <c r="B32" s="6"/>
      <c r="E32" s="6"/>
    </row>
    <row r="33" customFormat="false" ht="33.75" hidden="false" customHeight="true" outlineLevel="0" collapsed="false">
      <c r="B33" s="615" t="s">
        <v>2102</v>
      </c>
      <c r="E33" s="6"/>
    </row>
    <row r="34" customFormat="false" ht="15" hidden="false" customHeight="true" outlineLevel="0" collapsed="false">
      <c r="B34" s="616" t="s">
        <v>666</v>
      </c>
      <c r="C34" s="617" t="s">
        <v>760</v>
      </c>
      <c r="D34" s="617" t="s">
        <v>908</v>
      </c>
      <c r="E34" s="616" t="s">
        <v>765</v>
      </c>
      <c r="F34" s="617" t="s">
        <v>770</v>
      </c>
      <c r="G34" s="617" t="s">
        <v>909</v>
      </c>
      <c r="H34" s="617" t="s">
        <v>910</v>
      </c>
      <c r="I34" s="617" t="s">
        <v>911</v>
      </c>
      <c r="J34" s="617" t="s">
        <v>912</v>
      </c>
      <c r="K34" s="617" t="s">
        <v>1200</v>
      </c>
      <c r="L34" s="617" t="s">
        <v>1201</v>
      </c>
    </row>
    <row r="35" customFormat="false" ht="15" hidden="false" customHeight="true" outlineLevel="0" collapsed="false">
      <c r="B35" s="6" t="s">
        <v>2103</v>
      </c>
      <c r="C35" s="142" t="n">
        <f aca="false">'Consolidated P&amp;L'!C30</f>
        <v>-2419793.24814675</v>
      </c>
      <c r="D35" s="142" t="n">
        <f aca="false">'Consolidated P&amp;L'!D30</f>
        <v>-2583177.2552345</v>
      </c>
      <c r="E35" s="241" t="n">
        <f aca="false">'Consolidated P&amp;L'!E30</f>
        <v>-2751119.61086118</v>
      </c>
      <c r="F35" s="142" t="n">
        <f aca="false">'Consolidated P&amp;L'!F30</f>
        <v>-2804332.04590701</v>
      </c>
      <c r="G35" s="142" t="n">
        <f aca="false">'Consolidated P&amp;L'!G30</f>
        <v>-2901143.66387592</v>
      </c>
      <c r="H35" s="142" t="n">
        <f aca="false">'Consolidated P&amp;L'!H30</f>
        <v>-3021962.45156915</v>
      </c>
      <c r="I35" s="142" t="n">
        <f aca="false">'Consolidated P&amp;L'!I30</f>
        <v>-3120813.62263036</v>
      </c>
      <c r="J35" s="142" t="n">
        <f aca="false">'Consolidated P&amp;L'!J30</f>
        <v>-3219059.75973157</v>
      </c>
      <c r="K35" s="142" t="n">
        <f aca="false">'Consolidated P&amp;L'!K30</f>
        <v>-3380012.74771815</v>
      </c>
      <c r="L35" s="142" t="n">
        <f aca="false">'Consolidated P&amp;L'!L30</f>
        <v>-3549013.38510406</v>
      </c>
    </row>
    <row r="36" customFormat="false" ht="15" hidden="false" customHeight="true" outlineLevel="0" collapsed="false">
      <c r="B36" s="6" t="s">
        <v>2104</v>
      </c>
      <c r="C36" s="142" t="n">
        <f aca="false">'Consolidated P&amp;L'!C36</f>
        <v>-1409240.5316</v>
      </c>
      <c r="D36" s="142" t="n">
        <f aca="false">'Consolidated P&amp;L'!D36</f>
        <v>-1585395.59805</v>
      </c>
      <c r="E36" s="241" t="n">
        <f aca="false">'Consolidated P&amp;L'!E36</f>
        <v>-1761550.6645</v>
      </c>
      <c r="F36" s="142" t="n">
        <f aca="false">'Consolidated P&amp;L'!F36</f>
        <v>-1814397.184435</v>
      </c>
      <c r="G36" s="142" t="n">
        <f aca="false">'Consolidated P&amp;L'!G36</f>
        <v>-1868829.09996805</v>
      </c>
      <c r="H36" s="142" t="n">
        <f aca="false">'Consolidated P&amp;L'!H36</f>
        <v>-1924893.97296709</v>
      </c>
      <c r="I36" s="142" t="n">
        <f aca="false">'Consolidated P&amp;L'!I36</f>
        <v>-1982640.7921561</v>
      </c>
      <c r="J36" s="142" t="n">
        <f aca="false">'Consolidated P&amp;L'!J36</f>
        <v>-2042120.01592079</v>
      </c>
      <c r="K36" s="142" t="n">
        <f aca="false">'Consolidated P&amp;L'!K36</f>
        <v>-2103383.61639841</v>
      </c>
      <c r="L36" s="142" t="n">
        <f aca="false">'Consolidated P&amp;L'!L36</f>
        <v>-2166485.12489036</v>
      </c>
    </row>
    <row r="37" customFormat="false" ht="15" hidden="false" customHeight="true" outlineLevel="0" collapsed="false">
      <c r="B37" s="618" t="s">
        <v>2105</v>
      </c>
      <c r="C37" s="619" t="n">
        <f aca="false">C35+C36</f>
        <v>-3829033.77974675</v>
      </c>
      <c r="D37" s="619" t="n">
        <f aca="false">D35+D36</f>
        <v>-4168572.8532845</v>
      </c>
      <c r="E37" s="626" t="n">
        <f aca="false">E35+E36</f>
        <v>-4512670.27536118</v>
      </c>
      <c r="F37" s="619" t="n">
        <f aca="false">F35+F36</f>
        <v>-4618729.23034201</v>
      </c>
      <c r="G37" s="619" t="n">
        <f aca="false">G35+G36</f>
        <v>-4769972.76384397</v>
      </c>
      <c r="H37" s="619" t="n">
        <f aca="false">H35+H36</f>
        <v>-4946856.42453624</v>
      </c>
      <c r="I37" s="619" t="n">
        <f aca="false">I35+I36</f>
        <v>-5103454.41478646</v>
      </c>
      <c r="J37" s="619" t="n">
        <f aca="false">J35+J36</f>
        <v>-5261179.77565236</v>
      </c>
      <c r="K37" s="619" t="n">
        <f aca="false">K35+K36</f>
        <v>-5483396.36411656</v>
      </c>
      <c r="L37" s="619" t="n">
        <f aca="false">L35+L36</f>
        <v>-5715498.50999442</v>
      </c>
    </row>
    <row r="38" customFormat="false" ht="15" hidden="false" customHeight="true" outlineLevel="0" collapsed="false">
      <c r="B38" s="6" t="s">
        <v>2106</v>
      </c>
      <c r="C38" s="177" t="n">
        <f aca="false">-C37/'Consolidated P&amp;L'!C18</f>
        <v>0.717367556203847</v>
      </c>
      <c r="D38" s="177" t="n">
        <f aca="false">-D37/'Consolidated P&amp;L'!D18</f>
        <v>0.694204472142011</v>
      </c>
      <c r="E38" s="276" t="n">
        <f aca="false">-E37/'Consolidated P&amp;L'!E18</f>
        <v>0.676357208340679</v>
      </c>
      <c r="F38" s="177" t="n">
        <f aca="false">-F37/'Consolidated P&amp;L'!F18</f>
        <v>0.692253281914241</v>
      </c>
      <c r="G38" s="177" t="n">
        <f aca="false">-G37/'Consolidated P&amp;L'!G18</f>
        <v>0.680877716159998</v>
      </c>
      <c r="H38" s="177" t="n">
        <f aca="false">-H37/'Consolidated P&amp;L'!H18</f>
        <v>0.624032437716681</v>
      </c>
      <c r="I38" s="177" t="n">
        <f aca="false">-I37/'Consolidated P&amp;L'!I18</f>
        <v>0.619879761669405</v>
      </c>
      <c r="J38" s="177" t="n">
        <f aca="false">-J37/'Consolidated P&amp;L'!J18</f>
        <v>0.617062166259607</v>
      </c>
      <c r="K38" s="177" t="n">
        <f aca="false">-K37/'Consolidated P&amp;L'!K18</f>
        <v>0.612500035423052</v>
      </c>
      <c r="L38" s="177" t="n">
        <f aca="false">-L37/'Consolidated P&amp;L'!L18</f>
        <v>0.608024802316716</v>
      </c>
    </row>
    <row r="39" customFormat="false" ht="33.75" hidden="false" customHeight="true" outlineLevel="0" collapsed="false">
      <c r="B39" s="6" t="s">
        <v>2107</v>
      </c>
      <c r="C39" s="198" t="n">
        <f aca="false">'Consolidated P&amp;L'!C38</f>
        <v>1508583.94025325</v>
      </c>
      <c r="D39" s="198" t="n">
        <f aca="false">'Consolidated P&amp;L'!D38</f>
        <v>1836247.0817155</v>
      </c>
      <c r="E39" s="199" t="n">
        <f aca="false">'Consolidated P&amp;L'!E38</f>
        <v>2159351.87463882</v>
      </c>
      <c r="F39" s="198" t="n">
        <f aca="false">'Consolidated P&amp;L'!F38</f>
        <v>2053292.91965799</v>
      </c>
      <c r="G39" s="198" t="n">
        <f aca="false">'Consolidated P&amp;L'!G38</f>
        <v>2235650.49365603</v>
      </c>
      <c r="H39" s="198" t="n">
        <f aca="false">'Consolidated P&amp;L'!H38</f>
        <v>2980386.01599564</v>
      </c>
      <c r="I39" s="198" t="n">
        <f aca="false">'Consolidated P&amp;L'!I38</f>
        <v>3129520.31734916</v>
      </c>
      <c r="J39" s="198" t="n">
        <f aca="false">'Consolidated P&amp;L'!J38</f>
        <v>3264994.83580308</v>
      </c>
      <c r="K39" s="198" t="n">
        <f aca="false">'Consolidated P&amp;L'!K38</f>
        <v>3469086.97791165</v>
      </c>
      <c r="L39" s="198" t="n">
        <f aca="false">'Consolidated P&amp;L'!L38</f>
        <v>3684608.9991352</v>
      </c>
    </row>
    <row r="40" customFormat="false" ht="15" hidden="false" customHeight="true" outlineLevel="0" collapsed="false">
      <c r="B40" s="6"/>
      <c r="E40" s="6"/>
    </row>
    <row r="41" customFormat="false" ht="93.75" hidden="false" customHeight="true" outlineLevel="0" collapsed="false">
      <c r="B41" s="627" t="s">
        <v>2108</v>
      </c>
      <c r="E41" s="6"/>
    </row>
    <row r="42" customFormat="false" ht="93.75" hidden="false" customHeight="true" outlineLevel="0" collapsed="false">
      <c r="B42" s="627" t="s">
        <v>2109</v>
      </c>
      <c r="E42" s="6"/>
    </row>
    <row r="43" customFormat="false" ht="78.75" hidden="false" customHeight="true" outlineLevel="0" collapsed="false">
      <c r="B43" s="627" t="s">
        <v>2110</v>
      </c>
      <c r="E43" s="6"/>
    </row>
    <row r="44" customFormat="false" ht="120" hidden="false" customHeight="true" outlineLevel="0" collapsed="false">
      <c r="B44" s="6" t="s">
        <v>2111</v>
      </c>
      <c r="E44" s="6"/>
    </row>
    <row r="45" customFormat="false" ht="63.75" hidden="false" customHeight="true" outlineLevel="0" collapsed="false">
      <c r="B45" s="6" t="s">
        <v>2112</v>
      </c>
      <c r="E45" s="6"/>
    </row>
    <row r="46" customFormat="false" ht="15" hidden="false" customHeight="true" outlineLevel="0" collapsed="false">
      <c r="B46" s="6"/>
      <c r="E46" s="6"/>
    </row>
    <row r="47" customFormat="false" ht="33.75" hidden="false" customHeight="true" outlineLevel="0" collapsed="false">
      <c r="B47" s="159" t="s">
        <v>2113</v>
      </c>
      <c r="E47" s="6"/>
    </row>
    <row r="48" customFormat="false" ht="33.75" hidden="false" customHeight="true" outlineLevel="0" collapsed="false">
      <c r="B48" s="6" t="s">
        <v>2114</v>
      </c>
      <c r="E48" s="6"/>
    </row>
    <row r="49" customFormat="false" ht="33.75" hidden="false" customHeight="true" outlineLevel="0" collapsed="false">
      <c r="B49" s="6" t="s">
        <v>2115</v>
      </c>
      <c r="E49" s="6"/>
    </row>
    <row r="50" customFormat="false" ht="48.75" hidden="false" customHeight="true" outlineLevel="0" collapsed="false">
      <c r="B50" s="6" t="s">
        <v>2116</v>
      </c>
      <c r="E50" s="6"/>
    </row>
    <row r="51" customFormat="false" ht="15" hidden="false" customHeight="true" outlineLevel="0" collapsed="false">
      <c r="B51" s="6"/>
      <c r="E51" s="6"/>
    </row>
    <row r="52" customFormat="false" ht="15" hidden="false" customHeight="true" outlineLevel="0" collapsed="false">
      <c r="B52" s="6" t="s">
        <v>2117</v>
      </c>
      <c r="E52" s="6"/>
    </row>
    <row r="53" customFormat="false" ht="33.75" hidden="false" customHeight="true" outlineLevel="0" collapsed="false">
      <c r="B53" s="6" t="s">
        <v>2118</v>
      </c>
      <c r="E53" s="6"/>
    </row>
    <row r="54" customFormat="false" ht="33.75" hidden="false" customHeight="true" outlineLevel="0" collapsed="false">
      <c r="B54" s="6" t="s">
        <v>2119</v>
      </c>
      <c r="E54" s="6"/>
    </row>
    <row r="55" customFormat="false" ht="15" hidden="false" customHeight="true" outlineLevel="0" collapsed="false">
      <c r="B55" s="6"/>
      <c r="E55" s="6"/>
    </row>
    <row r="56" customFormat="false" ht="15" hidden="false" customHeight="true" outlineLevel="0" collapsed="false">
      <c r="B56" s="6" t="s">
        <v>2120</v>
      </c>
      <c r="E56" s="6"/>
    </row>
    <row r="57" customFormat="false" ht="48.75" hidden="false" customHeight="true" outlineLevel="0" collapsed="false">
      <c r="B57" s="6" t="s">
        <v>2121</v>
      </c>
      <c r="E57" s="6"/>
    </row>
    <row r="58" customFormat="false" ht="48.75" hidden="false" customHeight="true" outlineLevel="0" collapsed="false">
      <c r="B58" s="6" t="s">
        <v>2122</v>
      </c>
      <c r="E58" s="6"/>
    </row>
    <row r="59" customFormat="false" ht="15" hidden="false" customHeight="true" outlineLevel="0" collapsed="false">
      <c r="B59" s="6"/>
      <c r="E59" s="6"/>
    </row>
    <row r="60" customFormat="false" ht="48.75" hidden="false" customHeight="true" outlineLevel="0" collapsed="false">
      <c r="B60" s="6" t="s">
        <v>2123</v>
      </c>
      <c r="E60" s="6"/>
    </row>
    <row r="61" customFormat="false" ht="48.75" hidden="false" customHeight="true" outlineLevel="0" collapsed="false">
      <c r="B61" s="6" t="s">
        <v>2124</v>
      </c>
      <c r="E61" s="6"/>
    </row>
    <row r="62" customFormat="false" ht="15" hidden="false" customHeight="true" outlineLevel="0" collapsed="false">
      <c r="B62" s="6"/>
      <c r="E62" s="6"/>
    </row>
    <row r="63" customFormat="false" ht="15" hidden="false" customHeight="true" outlineLevel="0" collapsed="false">
      <c r="B63" s="6" t="s">
        <v>2125</v>
      </c>
      <c r="E63" s="6"/>
    </row>
    <row r="64" customFormat="false" ht="15" hidden="false" customHeight="true" outlineLevel="0" collapsed="false">
      <c r="B64" s="6" t="s">
        <v>2126</v>
      </c>
      <c r="D64" s="142" t="n">
        <f aca="false">D12</f>
        <v>27920</v>
      </c>
      <c r="E64" s="6"/>
    </row>
    <row r="65" customFormat="false" ht="15" hidden="false" customHeight="true" outlineLevel="0" collapsed="false">
      <c r="B65" s="6" t="s">
        <v>2127</v>
      </c>
      <c r="D65" s="0" t="n">
        <f aca="false">'Consolidated 8Yr P&amp;L'!F24*-1</f>
        <v>30508.93784</v>
      </c>
      <c r="E65" s="6"/>
    </row>
    <row r="66" customFormat="false" ht="15" hidden="false" customHeight="true" outlineLevel="0" collapsed="false">
      <c r="B66" s="6" t="s">
        <v>2128</v>
      </c>
      <c r="D66" s="0" t="n">
        <f aca="false">1.03^3</f>
        <v>1.092727</v>
      </c>
      <c r="E66" s="6"/>
    </row>
    <row r="67" customFormat="false" ht="15" hidden="false" customHeight="true" outlineLevel="0" collapsed="false">
      <c r="B67" s="6" t="s">
        <v>2129</v>
      </c>
      <c r="D67" s="0" t="n">
        <f aca="false">D64*D66</f>
        <v>30508.93784</v>
      </c>
      <c r="E67" s="6"/>
    </row>
    <row r="68" customFormat="false" ht="15" hidden="false" customHeight="true" outlineLevel="0" collapsed="false">
      <c r="B68" s="6" t="s">
        <v>2130</v>
      </c>
      <c r="D68" s="0" t="str">
        <f aca="false">IF(ABS(D67-D65)&lt;10,"✓ Reconciles","✗ Mismatch")</f>
        <v>✓ Reconciles</v>
      </c>
      <c r="E68"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2:L55"/>
  <sheetViews>
    <sheetView showFormulas="false" showGridLines="false" showRowColHeaders="true" showZeros="true" rightToLeft="false" tabSelected="false" showOutlineSymbols="true" defaultGridColor="true" view="normal" topLeftCell="A1" colorId="64" zoomScale="150" zoomScaleNormal="150" zoomScalePageLayoutView="100" workbookViewId="0">
      <pane xSplit="2" ySplit="6" topLeftCell="C36" activePane="bottomRight" state="frozen"/>
      <selection pane="topLeft" activeCell="A1" activeCellId="0" sqref="A1"/>
      <selection pane="topRight" activeCell="C1" activeCellId="0" sqref="C1"/>
      <selection pane="bottomLeft" activeCell="A36" activeCellId="0" sqref="A36"/>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3"/>
  </cols>
  <sheetData>
    <row r="2" customFormat="false" ht="27.75" hidden="false" customHeight="true" outlineLevel="0" collapsed="false">
      <c r="B2" s="628" t="s">
        <v>2131</v>
      </c>
      <c r="C2" s="628"/>
      <c r="D2" s="628"/>
      <c r="E2" s="628"/>
      <c r="F2" s="628"/>
      <c r="G2" s="628"/>
      <c r="H2" s="628"/>
      <c r="I2" s="628"/>
      <c r="J2" s="628"/>
      <c r="K2" s="628"/>
      <c r="L2" s="628"/>
    </row>
    <row r="3" customFormat="false" ht="19.5" hidden="false" customHeight="true" outlineLevel="0" collapsed="false">
      <c r="B3" s="629" t="s">
        <v>2132</v>
      </c>
      <c r="C3" s="629"/>
      <c r="D3" s="629"/>
      <c r="E3" s="629"/>
      <c r="F3" s="629"/>
      <c r="G3" s="629"/>
      <c r="H3" s="629"/>
      <c r="I3" s="629"/>
      <c r="J3" s="629"/>
      <c r="K3" s="629"/>
      <c r="L3" s="629"/>
    </row>
    <row r="6" customFormat="false" ht="21.75" hidden="false" customHeight="true" outlineLevel="0" collapsed="false">
      <c r="B6" s="551" t="s">
        <v>1141</v>
      </c>
      <c r="C6" s="98" t="s">
        <v>760</v>
      </c>
      <c r="D6" s="98" t="s">
        <v>908</v>
      </c>
      <c r="E6" s="98" t="s">
        <v>765</v>
      </c>
      <c r="F6" s="98" t="s">
        <v>770</v>
      </c>
      <c r="G6" s="98" t="s">
        <v>909</v>
      </c>
      <c r="H6" s="98" t="s">
        <v>910</v>
      </c>
      <c r="I6" s="98" t="s">
        <v>911</v>
      </c>
      <c r="J6" s="98" t="s">
        <v>912</v>
      </c>
      <c r="K6" s="98" t="s">
        <v>1200</v>
      </c>
      <c r="L6" s="98" t="s">
        <v>1201</v>
      </c>
    </row>
    <row r="8" customFormat="false" ht="19.5" hidden="false" customHeight="true" outlineLevel="0" collapsed="false">
      <c r="B8" s="629" t="s">
        <v>2133</v>
      </c>
      <c r="C8" s="629"/>
      <c r="D8" s="629"/>
      <c r="E8" s="629"/>
      <c r="F8" s="629"/>
      <c r="G8" s="629"/>
      <c r="H8" s="629"/>
      <c r="I8" s="629"/>
      <c r="J8" s="629"/>
      <c r="K8" s="629"/>
      <c r="L8" s="629"/>
    </row>
    <row r="9" customFormat="false" ht="15" hidden="false" customHeight="true" outlineLevel="0" collapsed="false">
      <c r="B9" s="570" t="s">
        <v>217</v>
      </c>
      <c r="C9" s="357" t="n">
        <f aca="false">'Master Revenue'!F7</f>
        <v>800798.68</v>
      </c>
      <c r="D9" s="357" t="n">
        <f aca="false">'Master Revenue'!G7</f>
        <v>900898.515</v>
      </c>
      <c r="E9" s="357" t="n">
        <f aca="false">'Master Revenue'!H7</f>
        <v>1000998.35</v>
      </c>
      <c r="F9" s="357" t="n">
        <f aca="false">'Master Revenue'!I7</f>
        <v>1000998.35</v>
      </c>
      <c r="G9" s="357" t="n">
        <f aca="false">'Master Revenue'!J7</f>
        <v>1051048.2675</v>
      </c>
      <c r="H9" s="357" t="n">
        <f aca="false">'Gaming · 8-Year'!H11</f>
        <v>1253265.95041784</v>
      </c>
      <c r="I9" s="357" t="n">
        <f aca="false">'Gaming · 8-Year'!I11</f>
        <v>1314768.81650316</v>
      </c>
      <c r="J9" s="357" t="n">
        <f aca="false">'Gaming · 8-Year'!J11</f>
        <v>1354211.88099826</v>
      </c>
      <c r="K9" s="357" t="n">
        <f aca="false">'Gaming · 8-Year'!J11*(1+UNIVERSAL_DRIVERS!$C$31)</f>
        <v>1421922.47504817</v>
      </c>
      <c r="L9" s="357" t="n">
        <f aca="false">'Gaming · 8-Year'!J11*(1+UNIVERSAL_DRIVERS!$C$31)^2</f>
        <v>1493018.59880058</v>
      </c>
    </row>
    <row r="10" customFormat="false" ht="15" hidden="false" customHeight="true" outlineLevel="0" collapsed="false">
      <c r="B10" s="570" t="s">
        <v>218</v>
      </c>
      <c r="C10" s="357" t="n">
        <f aca="false">'Master Revenue'!F8</f>
        <v>964968</v>
      </c>
      <c r="D10" s="357" t="n">
        <f aca="false">'Master Revenue'!G8</f>
        <v>1085589</v>
      </c>
      <c r="E10" s="357" t="n">
        <f aca="false">'Master Revenue'!H8</f>
        <v>1206210</v>
      </c>
      <c r="F10" s="357" t="n">
        <f aca="false">'Master Revenue'!I8</f>
        <v>1206210</v>
      </c>
      <c r="G10" s="357" t="n">
        <f aca="false">'Master Revenue'!J8</f>
        <v>1266520.5</v>
      </c>
      <c r="H10" s="357" t="n">
        <f aca="false">'Events · 8-Year'!H11</f>
        <v>1329846.525</v>
      </c>
      <c r="I10" s="357" t="n">
        <f aca="false">'Events · 8-Year'!I11</f>
        <v>1396338.85125</v>
      </c>
      <c r="J10" s="357" t="n">
        <f aca="false">'Events · 8-Year'!J11</f>
        <v>1466155.7938125</v>
      </c>
      <c r="K10" s="357" t="n">
        <f aca="false">'Events · 8-Year'!J11*(1+UNIVERSAL_DRIVERS!$C$31)</f>
        <v>1539463.58350313</v>
      </c>
      <c r="L10" s="357" t="n">
        <f aca="false">'Events · 8-Year'!J11*(1+UNIVERSAL_DRIVERS!$C$31)^2</f>
        <v>1616436.76267828</v>
      </c>
    </row>
    <row r="11" customFormat="false" ht="15" hidden="false" customHeight="true" outlineLevel="0" collapsed="false">
      <c r="B11" s="570" t="s">
        <v>145</v>
      </c>
      <c r="C11" s="357" t="n">
        <f aca="false">'Master Revenue'!F9</f>
        <v>1276056</v>
      </c>
      <c r="D11" s="357" t="n">
        <f aca="false">'Master Revenue'!G9</f>
        <v>1435563</v>
      </c>
      <c r="E11" s="357" t="n">
        <f aca="false">'Master Revenue'!H9</f>
        <v>1595070</v>
      </c>
      <c r="F11" s="357" t="n">
        <f aca="false">'Master Revenue'!I9</f>
        <v>1595070</v>
      </c>
      <c r="G11" s="357" t="n">
        <f aca="false">'Master Revenue'!J9</f>
        <v>1674823.5</v>
      </c>
      <c r="H11" s="357" t="n">
        <f aca="false">'Academy · 8-Year'!H11</f>
        <v>1941579.46257839</v>
      </c>
      <c r="I11" s="357" t="n">
        <f aca="false">'Academy · 8-Year'!I11</f>
        <v>1999826.84645574</v>
      </c>
      <c r="J11" s="357" t="n">
        <f aca="false">'Academy · 8-Year'!J11</f>
        <v>2059821.65184941</v>
      </c>
      <c r="K11" s="357" t="n">
        <f aca="false">'Academy · 8-Year'!J11*(1+UNIVERSAL_DRIVERS!$C$31)</f>
        <v>2162812.73444188</v>
      </c>
      <c r="L11" s="357" t="n">
        <f aca="false">'Academy · 8-Year'!J11*(1+UNIVERSAL_DRIVERS!$C$31)^2</f>
        <v>2270953.37116397</v>
      </c>
    </row>
    <row r="12" customFormat="false" ht="15" hidden="false" customHeight="true" outlineLevel="0" collapsed="false">
      <c r="B12" s="570" t="s">
        <v>219</v>
      </c>
      <c r="C12" s="357" t="n">
        <f aca="false">'Master Revenue'!F10</f>
        <v>554925.12</v>
      </c>
      <c r="D12" s="357" t="n">
        <f aca="false">'Master Revenue'!G10</f>
        <v>624290.76</v>
      </c>
      <c r="E12" s="357" t="n">
        <f aca="false">'Master Revenue'!H10</f>
        <v>693656.4</v>
      </c>
      <c r="F12" s="357" t="n">
        <f aca="false">'Master Revenue'!I10</f>
        <v>693656.4</v>
      </c>
      <c r="G12" s="357" t="n">
        <f aca="false">'Master Revenue'!J10</f>
        <v>728339.22</v>
      </c>
      <c r="H12" s="357" t="n">
        <f aca="false">'Esports · 8-Year'!H11</f>
        <v>844344.775041884</v>
      </c>
      <c r="I12" s="357" t="n">
        <f aca="false">'Esports · 8-Year'!I11</f>
        <v>869675.118293141</v>
      </c>
      <c r="J12" s="357" t="n">
        <f aca="false">'Esports · 8-Year'!J11</f>
        <v>895765.371841935</v>
      </c>
      <c r="K12" s="357" t="n">
        <f aca="false">'Esports · 8-Year'!J11*(1+UNIVERSAL_DRIVERS!$C$31)</f>
        <v>940553.640434032</v>
      </c>
      <c r="L12" s="357" t="n">
        <f aca="false">'Esports · 8-Year'!J11*(1+UNIVERSAL_DRIVERS!$C$31)^2</f>
        <v>987581.322455733</v>
      </c>
    </row>
    <row r="13" customFormat="false" ht="15" hidden="false" customHeight="true" outlineLevel="0" collapsed="false">
      <c r="B13" s="570" t="s">
        <v>151</v>
      </c>
      <c r="C13" s="357" t="n">
        <f aca="false">'Master Revenue'!F11</f>
        <v>391098.48</v>
      </c>
      <c r="D13" s="357" t="n">
        <f aca="false">'Master Revenue'!G11</f>
        <v>439985.79</v>
      </c>
      <c r="E13" s="357" t="n">
        <f aca="false">'Master Revenue'!H11</f>
        <v>488873.1</v>
      </c>
      <c r="F13" s="357" t="n">
        <f aca="false">'Master Revenue'!I11</f>
        <v>488873.1</v>
      </c>
      <c r="G13" s="357" t="n">
        <f aca="false">'Master Revenue'!J11</f>
        <v>513316.755</v>
      </c>
      <c r="H13" s="357" t="n">
        <f aca="false">'Museum · 8-Year'!H11</f>
        <v>595074.805975305</v>
      </c>
      <c r="I13" s="357" t="n">
        <f aca="false">'Museum · 8-Year'!I11</f>
        <v>612927.050154564</v>
      </c>
      <c r="J13" s="357" t="n">
        <f aca="false">'Museum · 8-Year'!J11</f>
        <v>631314.861659201</v>
      </c>
      <c r="K13" s="357" t="n">
        <f aca="false">'Museum · 8-Year'!J11*(1+UNIVERSAL_DRIVERS!$C$31)</f>
        <v>662880.604742161</v>
      </c>
      <c r="L13" s="357" t="n">
        <f aca="false">'Museum · 8-Year'!J11*(1+UNIVERSAL_DRIVERS!$C$31)^2</f>
        <v>696024.634979269</v>
      </c>
    </row>
    <row r="14" customFormat="false" ht="15" hidden="false" customHeight="true" outlineLevel="0" collapsed="false">
      <c r="B14" s="570" t="s">
        <v>157</v>
      </c>
      <c r="C14" s="357" t="n">
        <f aca="false">'Master Revenue'!F12</f>
        <v>256800</v>
      </c>
      <c r="D14" s="357" t="n">
        <f aca="false">'Master Revenue'!G12</f>
        <v>288900</v>
      </c>
      <c r="E14" s="357" t="n">
        <f aca="false">'Master Revenue'!H12</f>
        <v>321000</v>
      </c>
      <c r="F14" s="357" t="n">
        <f aca="false">'Master Revenue'!I12</f>
        <v>321000</v>
      </c>
      <c r="G14" s="357" t="n">
        <f aca="false">'Master Revenue'!J12</f>
        <v>337050</v>
      </c>
      <c r="H14" s="357" t="n">
        <f aca="false">'Subleasing · 8-Year'!H11</f>
        <v>390733.326742815</v>
      </c>
      <c r="I14" s="357" t="n">
        <f aca="false">'Subleasing · 8-Year'!I11</f>
        <v>402455.3265451</v>
      </c>
      <c r="J14" s="357" t="n">
        <f aca="false">'Subleasing · 8-Year'!J11</f>
        <v>414528.986341453</v>
      </c>
      <c r="K14" s="357" t="n">
        <f aca="false">'Subleasing · 8-Year'!J11*(1+UNIVERSAL_DRIVERS!$C$31)</f>
        <v>435255.435658525</v>
      </c>
      <c r="L14" s="357" t="n">
        <f aca="false">'Subleasing · 8-Year'!J11*(1+UNIVERSAL_DRIVERS!$C$31)^2</f>
        <v>457018.207441451</v>
      </c>
    </row>
    <row r="15" customFormat="false" ht="15" hidden="false" customHeight="true" outlineLevel="0" collapsed="false">
      <c r="B15" s="570" t="s">
        <v>143</v>
      </c>
      <c r="C15" s="357" t="n">
        <f aca="false">'Master Revenue'!F13</f>
        <v>631771.44</v>
      </c>
      <c r="D15" s="357" t="n">
        <f aca="false">'Master Revenue'!G13</f>
        <v>710742.87</v>
      </c>
      <c r="E15" s="357" t="n">
        <f aca="false">'Master Revenue'!H13</f>
        <v>789714.3</v>
      </c>
      <c r="F15" s="357" t="n">
        <f aca="false">'Master Revenue'!I13</f>
        <v>789714.3</v>
      </c>
      <c r="G15" s="357" t="n">
        <f aca="false">'Master Revenue'!J13</f>
        <v>829200.015</v>
      </c>
      <c r="H15" s="357" t="n">
        <f aca="false">'F&amp;B · 8-Year'!H11</f>
        <v>870660.01575</v>
      </c>
      <c r="I15" s="357" t="n">
        <f aca="false">'F&amp;B · 8-Year'!I11</f>
        <v>914193.0165375</v>
      </c>
      <c r="J15" s="357" t="n">
        <f aca="false">'F&amp;B · 8-Year'!J11</f>
        <v>959902.667364375</v>
      </c>
      <c r="K15" s="357" t="n">
        <f aca="false">'F&amp;B · 8-Year'!J11*(1+UNIVERSAL_DRIVERS!$C$31)</f>
        <v>1007897.80073259</v>
      </c>
      <c r="L15" s="357" t="n">
        <f aca="false">'F&amp;B · 8-Year'!J11*(1+UNIVERSAL_DRIVERS!$C$31)^2</f>
        <v>1058292.69076922</v>
      </c>
    </row>
    <row r="16" customFormat="false" ht="15" hidden="false" customHeight="true" outlineLevel="0" collapsed="false">
      <c r="B16" s="570" t="s">
        <v>153</v>
      </c>
      <c r="C16" s="357" t="n">
        <f aca="false">'Master Revenue'!F14</f>
        <v>229600</v>
      </c>
      <c r="D16" s="357" t="n">
        <f aca="false">'Master Revenue'!G14</f>
        <v>258300</v>
      </c>
      <c r="E16" s="357" t="n">
        <f aca="false">'Master Revenue'!H14</f>
        <v>287000</v>
      </c>
      <c r="F16" s="357" t="n">
        <f aca="false">'Master Revenue'!I14</f>
        <v>287000</v>
      </c>
      <c r="G16" s="357" t="n">
        <f aca="false">'Master Revenue'!J14</f>
        <v>301350</v>
      </c>
      <c r="H16" s="357" t="n">
        <f aca="false">'Sponsorships · 8-Year'!H11</f>
        <v>349347.242290305</v>
      </c>
      <c r="I16" s="357" t="n">
        <f aca="false">'Sponsorships · 8-Year'!I11</f>
        <v>359827.659559014</v>
      </c>
      <c r="J16" s="357" t="n">
        <f aca="false">'Sponsorships · 8-Year'!J11</f>
        <v>370622.489345785</v>
      </c>
      <c r="K16" s="357" t="n">
        <f aca="false">'Sponsorships · 8-Year'!J11*(1+UNIVERSAL_DRIVERS!$C$31)</f>
        <v>389153.613813074</v>
      </c>
      <c r="L16" s="357" t="n">
        <f aca="false">'Sponsorships · 8-Year'!J11*(1+UNIVERSAL_DRIVERS!$C$31)^2</f>
        <v>408611.294503728</v>
      </c>
    </row>
    <row r="17" customFormat="false" ht="15" hidden="false" customHeight="true" outlineLevel="0" collapsed="false">
      <c r="B17" s="570" t="s">
        <v>155</v>
      </c>
      <c r="C17" s="357" t="n">
        <f aca="false">'Master Revenue'!F15</f>
        <v>231600</v>
      </c>
      <c r="D17" s="357" t="n">
        <f aca="false">'Master Revenue'!G15</f>
        <v>260550</v>
      </c>
      <c r="E17" s="357" t="n">
        <f aca="false">'Master Revenue'!H15</f>
        <v>289500</v>
      </c>
      <c r="F17" s="357" t="n">
        <f aca="false">'Master Revenue'!I15</f>
        <v>289500</v>
      </c>
      <c r="G17" s="357" t="n">
        <f aca="false">'Master Revenue'!J15</f>
        <v>303975</v>
      </c>
      <c r="H17" s="357" t="n">
        <f aca="false">'Borderless · 8-Year'!H11</f>
        <v>352390.336735343</v>
      </c>
      <c r="I17" s="357" t="n">
        <f aca="false">'Borderless · 8-Year'!I11</f>
        <v>362962.046837403</v>
      </c>
      <c r="J17" s="357" t="n">
        <f aca="false">'Borderless · 8-Year'!J11</f>
        <v>373850.908242525</v>
      </c>
      <c r="K17" s="357" t="n">
        <f aca="false">'Borderless · 8-Year'!J11*(1+UNIVERSAL_DRIVERS!$C$31)</f>
        <v>392543.453654651</v>
      </c>
      <c r="L17" s="357" t="n">
        <f aca="false">'Borderless · 8-Year'!J11*(1+UNIVERSAL_DRIVERS!$C$31)^2</f>
        <v>412170.626337384</v>
      </c>
    </row>
    <row r="18" customFormat="false" ht="15" hidden="false" customHeight="true" outlineLevel="0" collapsed="false">
      <c r="B18" s="551" t="s">
        <v>2134</v>
      </c>
      <c r="C18" s="630" t="n">
        <f aca="false">SUM(C9:C17)</f>
        <v>5337617.72</v>
      </c>
      <c r="D18" s="630" t="n">
        <f aca="false">SUM(D9:D17)</f>
        <v>6004819.935</v>
      </c>
      <c r="E18" s="630" t="n">
        <f aca="false">SUM(E9:E17)</f>
        <v>6672022.15</v>
      </c>
      <c r="F18" s="630" t="n">
        <f aca="false">SUM(F9:F17)</f>
        <v>6672022.15</v>
      </c>
      <c r="G18" s="630" t="n">
        <f aca="false">SUM(G9:G17)</f>
        <v>7005623.2575</v>
      </c>
      <c r="H18" s="630" t="n">
        <f aca="false">SUM(H9:H17)</f>
        <v>7927242.44053188</v>
      </c>
      <c r="I18" s="630" t="n">
        <f aca="false">SUM(I9:I17)</f>
        <v>8232974.73213562</v>
      </c>
      <c r="J18" s="630" t="n">
        <f aca="false">SUM(J9:J17)</f>
        <v>8526174.61145544</v>
      </c>
      <c r="K18" s="630" t="n">
        <f aca="false">SUM(K9:K17)</f>
        <v>8952483.34202821</v>
      </c>
      <c r="L18" s="630" t="n">
        <f aca="false">SUM(L9:L17)</f>
        <v>9400107.50912963</v>
      </c>
    </row>
    <row r="20" customFormat="false" ht="19.5" hidden="false" customHeight="true" outlineLevel="0" collapsed="false">
      <c r="B20" s="629" t="s">
        <v>2135</v>
      </c>
      <c r="C20" s="629"/>
      <c r="D20" s="629"/>
      <c r="E20" s="629"/>
      <c r="F20" s="629"/>
      <c r="G20" s="629"/>
      <c r="H20" s="629"/>
      <c r="I20" s="629"/>
      <c r="J20" s="629"/>
      <c r="K20" s="629"/>
      <c r="L20" s="629"/>
    </row>
    <row r="21" customFormat="false" ht="15" hidden="false" customHeight="true" outlineLevel="0" collapsed="false">
      <c r="B21" s="631" t="s">
        <v>217</v>
      </c>
      <c r="C21" s="361" t="n">
        <f aca="false">-'Gaming · 8-Year'!C17</f>
        <v>-449591.22126675</v>
      </c>
      <c r="D21" s="361" t="n">
        <f aca="false">-'Gaming · 8-Year'!D17</f>
        <v>-472297.268234501</v>
      </c>
      <c r="E21" s="361" t="n">
        <f aca="false">-'Gaming · 8-Year'!E17</f>
        <v>-495961.045921177</v>
      </c>
      <c r="F21" s="361" t="n">
        <f aca="false">-'Gaming · 8-Year'!F17</f>
        <v>-510839.877298813</v>
      </c>
      <c r="G21" s="361" t="n">
        <f aca="false">-'Gaming · 8-Year'!G17</f>
        <v>-536238.170209473</v>
      </c>
      <c r="H21" s="361" t="n">
        <f aca="false">-'Gaming · 8-Year'!H17</f>
        <v>-558550.489009425</v>
      </c>
      <c r="I21" s="361" t="n">
        <f aca="false">-'Gaming · 8-Year'!I17</f>
        <v>-579581.622949359</v>
      </c>
      <c r="J21" s="361" t="n">
        <f aca="false">-'Gaming · 8-Year'!J17</f>
        <v>-596969.07163784</v>
      </c>
      <c r="K21" s="361" t="n">
        <f aca="false">-'Gaming · 8-Year'!J17*(1+UNIVERSAL_DRIVERS!$C$31)</f>
        <v>-626817.525219732</v>
      </c>
      <c r="L21" s="361" t="n">
        <f aca="false">-'Gaming · 8-Year'!J17*(1+UNIVERSAL_DRIVERS!$C$31)^2</f>
        <v>-658158.401480719</v>
      </c>
    </row>
    <row r="22" customFormat="false" ht="15" hidden="false" customHeight="true" outlineLevel="0" collapsed="false">
      <c r="B22" s="631" t="s">
        <v>218</v>
      </c>
      <c r="C22" s="361" t="n">
        <f aca="false">-'Events · 8-Year'!C17</f>
        <v>-339742.4</v>
      </c>
      <c r="D22" s="361" t="n">
        <f aca="false">-'Events · 8-Year'!D17</f>
        <v>-368835.2</v>
      </c>
      <c r="E22" s="361" t="n">
        <f aca="false">-'Events · 8-Year'!E17</f>
        <v>-397928</v>
      </c>
      <c r="F22" s="361" t="n">
        <f aca="false">-'Events · 8-Year'!F17</f>
        <v>-397928</v>
      </c>
      <c r="G22" s="361" t="n">
        <f aca="false">-'Events · 8-Year'!G17</f>
        <v>-412474.4</v>
      </c>
      <c r="H22" s="361" t="n">
        <f aca="false">-'Events · 8-Year'!H17</f>
        <v>-427748.12</v>
      </c>
      <c r="I22" s="361" t="n">
        <f aca="false">-'Events · 8-Year'!I17</f>
        <v>-443785.526</v>
      </c>
      <c r="J22" s="361" t="n">
        <f aca="false">-'Events · 8-Year'!J17</f>
        <v>-460624.8023</v>
      </c>
      <c r="K22" s="361" t="n">
        <f aca="false">-'Events · 8-Year'!J17*(1+UNIVERSAL_DRIVERS!$C$31)</f>
        <v>-483656.042415</v>
      </c>
      <c r="L22" s="361" t="n">
        <f aca="false">-'Events · 8-Year'!J17*(1+UNIVERSAL_DRIVERS!$C$31)^2</f>
        <v>-507838.84453575</v>
      </c>
    </row>
    <row r="23" customFormat="false" ht="15" hidden="false" customHeight="true" outlineLevel="0" collapsed="false">
      <c r="B23" s="631" t="s">
        <v>145</v>
      </c>
      <c r="C23" s="361" t="n">
        <f aca="false">-'Academy · 8-Year'!C17</f>
        <v>-486547.6</v>
      </c>
      <c r="D23" s="361" t="n">
        <f aca="false">-'Academy · 8-Year'!D17</f>
        <v>-514778.344</v>
      </c>
      <c r="E23" s="361" t="n">
        <f aca="false">-'Academy · 8-Year'!E17</f>
        <v>-544265.0398</v>
      </c>
      <c r="F23" s="361" t="n">
        <f aca="false">-'Academy · 8-Year'!F17</f>
        <v>-560592.990994</v>
      </c>
      <c r="G23" s="361" t="n">
        <f aca="false">-'Academy · 8-Year'!G17</f>
        <v>-577410.78072382</v>
      </c>
      <c r="H23" s="361" t="n">
        <f aca="false">-'Academy · 8-Year'!H17</f>
        <v>-602405.875533697</v>
      </c>
      <c r="I23" s="361" t="n">
        <f aca="false">-'Academy · 8-Year'!I17</f>
        <v>-620478.051799708</v>
      </c>
      <c r="J23" s="361" t="n">
        <f aca="false">-'Academy · 8-Year'!J17</f>
        <v>-639092.393353699</v>
      </c>
      <c r="K23" s="361" t="n">
        <f aca="false">-'Academy · 8-Year'!J17*(1+UNIVERSAL_DRIVERS!$C$31)</f>
        <v>-671047.013021384</v>
      </c>
      <c r="L23" s="361" t="n">
        <f aca="false">-'Academy · 8-Year'!J17*(1+UNIVERSAL_DRIVERS!$C$31)^2</f>
        <v>-704599.363672453</v>
      </c>
    </row>
    <row r="24" customFormat="false" ht="15" hidden="false" customHeight="true" outlineLevel="0" collapsed="false">
      <c r="B24" s="631" t="s">
        <v>219</v>
      </c>
      <c r="C24" s="361" t="n">
        <f aca="false">-'Esports · 8-Year'!C17</f>
        <v>-194128.544</v>
      </c>
      <c r="D24" s="361" t="n">
        <f aca="false">-'Esports · 8-Year'!D17</f>
        <v>-211215.37616</v>
      </c>
      <c r="E24" s="361" t="n">
        <f aca="false">-'Esports · 8-Year'!E17</f>
        <v>-229152.70256</v>
      </c>
      <c r="F24" s="361" t="n">
        <f aca="false">-'Esports · 8-Year'!F17</f>
        <v>-236027.2836368</v>
      </c>
      <c r="G24" s="361" t="n">
        <f aca="false">-'Esports · 8-Year'!G17</f>
        <v>-243108.102145904</v>
      </c>
      <c r="H24" s="361" t="n">
        <f aca="false">-'Esports · 8-Year'!H17</f>
        <v>-256739.63447765</v>
      </c>
      <c r="I24" s="361" t="n">
        <f aca="false">-'Esports · 8-Year'!I17</f>
        <v>-264441.823511979</v>
      </c>
      <c r="J24" s="361" t="n">
        <f aca="false">-'Esports · 8-Year'!J17</f>
        <v>-272375.078217339</v>
      </c>
      <c r="K24" s="361" t="n">
        <f aca="false">-'Esports · 8-Year'!J17*(1+UNIVERSAL_DRIVERS!$C$31)</f>
        <v>-285993.832128206</v>
      </c>
      <c r="L24" s="361" t="n">
        <f aca="false">-'Esports · 8-Year'!J17*(1+UNIVERSAL_DRIVERS!$C$31)^2</f>
        <v>-300293.523734616</v>
      </c>
    </row>
    <row r="25" customFormat="false" ht="15" hidden="false" customHeight="true" outlineLevel="0" collapsed="false">
      <c r="B25" s="631" t="s">
        <v>151</v>
      </c>
      <c r="C25" s="361" t="n">
        <f aca="false">-'Museum · 8-Year'!C17</f>
        <v>-234668.96</v>
      </c>
      <c r="D25" s="361" t="n">
        <f aca="false">-'Museum · 8-Year'!D17</f>
        <v>-249108.1574</v>
      </c>
      <c r="E25" s="361" t="n">
        <f aca="false">-'Museum · 8-Year'!E17</f>
        <v>-264202.50458</v>
      </c>
      <c r="F25" s="361" t="n">
        <f aca="false">-'Museum · 8-Year'!F17</f>
        <v>-272128.5797174</v>
      </c>
      <c r="G25" s="361" t="n">
        <f aca="false">-'Museum · 8-Year'!G17</f>
        <v>-280292.437108922</v>
      </c>
      <c r="H25" s="361" t="n">
        <f aca="false">-'Museum · 8-Year'!H17</f>
        <v>-292865.102435001</v>
      </c>
      <c r="I25" s="361" t="n">
        <f aca="false">-'Museum · 8-Year'!I17</f>
        <v>-301651.055508051</v>
      </c>
      <c r="J25" s="361" t="n">
        <f aca="false">-'Museum · 8-Year'!J17</f>
        <v>-310700.587173293</v>
      </c>
      <c r="K25" s="361" t="n">
        <f aca="false">-'Museum · 8-Year'!J17*(1+UNIVERSAL_DRIVERS!$C$31)</f>
        <v>-326235.616531957</v>
      </c>
      <c r="L25" s="361" t="n">
        <f aca="false">-'Museum · 8-Year'!J17*(1+UNIVERSAL_DRIVERS!$C$31)^2</f>
        <v>-342547.397358555</v>
      </c>
    </row>
    <row r="26" customFormat="false" ht="15" hidden="false" customHeight="true" outlineLevel="0" collapsed="false">
      <c r="B26" s="631" t="s">
        <v>157</v>
      </c>
      <c r="C26" s="361" t="n">
        <f aca="false">-'Subleasing · 8-Year'!C17</f>
        <v>-26636</v>
      </c>
      <c r="D26" s="361" t="n">
        <f aca="false">-'Subleasing · 8-Year'!D17</f>
        <v>-28096.34</v>
      </c>
      <c r="E26" s="361" t="n">
        <f aca="false">-'Subleasing · 8-Year'!E17</f>
        <v>-29620.328</v>
      </c>
      <c r="F26" s="361" t="n">
        <f aca="false">-'Subleasing · 8-Year'!F17</f>
        <v>-30508.93784</v>
      </c>
      <c r="G26" s="361" t="n">
        <f aca="false">-'Subleasing · 8-Year'!G17</f>
        <v>-31424.2059752</v>
      </c>
      <c r="H26" s="361" t="n">
        <f aca="false">-'Subleasing · 8-Year'!H17</f>
        <v>-32739.0591323063</v>
      </c>
      <c r="I26" s="361" t="n">
        <f aca="false">-'Subleasing · 8-Year'!I17</f>
        <v>-33721.2309062755</v>
      </c>
      <c r="J26" s="361" t="n">
        <f aca="false">-'Subleasing · 8-Year'!J17</f>
        <v>-34732.8678334638</v>
      </c>
      <c r="K26" s="361" t="n">
        <f aca="false">-'Subleasing · 8-Year'!J17*(1+UNIVERSAL_DRIVERS!$C$31)</f>
        <v>-36469.511225137</v>
      </c>
      <c r="L26" s="361" t="n">
        <f aca="false">-'Subleasing · 8-Year'!J17*(1+UNIVERSAL_DRIVERS!$C$31)^2</f>
        <v>-38292.9867863938</v>
      </c>
    </row>
    <row r="27" customFormat="false" ht="15" hidden="false" customHeight="true" outlineLevel="0" collapsed="false">
      <c r="B27" s="631" t="s">
        <v>143</v>
      </c>
      <c r="C27" s="361" t="n">
        <f aca="false">-'F&amp;B · 8-Year'!C17</f>
        <v>-509910.52288</v>
      </c>
      <c r="D27" s="361" t="n">
        <f aca="false">-'F&amp;B · 8-Year'!D17</f>
        <v>-544677.14944</v>
      </c>
      <c r="E27" s="361" t="n">
        <f aca="false">-'F&amp;B · 8-Year'!E17</f>
        <v>-579443.776</v>
      </c>
      <c r="F27" s="361" t="n">
        <f aca="false">-'F&amp;B · 8-Year'!F17</f>
        <v>-579443.776</v>
      </c>
      <c r="G27" s="361" t="n">
        <f aca="false">-'F&amp;B · 8-Year'!G17</f>
        <v>-596827.08928</v>
      </c>
      <c r="H27" s="361" t="n">
        <f aca="false">-'F&amp;B · 8-Year'!H17</f>
        <v>-615079.568224</v>
      </c>
      <c r="I27" s="361" t="n">
        <f aca="false">-'F&amp;B · 8-Year'!I17</f>
        <v>-634244.6711152</v>
      </c>
      <c r="J27" s="361" t="n">
        <f aca="false">-'F&amp;B · 8-Year'!J17</f>
        <v>-654368.02915096</v>
      </c>
      <c r="K27" s="361" t="n">
        <f aca="false">-'F&amp;B · 8-Year'!J17*(1+UNIVERSAL_DRIVERS!$C$31)</f>
        <v>-687086.430608508</v>
      </c>
      <c r="L27" s="361" t="n">
        <f aca="false">-'F&amp;B · 8-Year'!J17*(1+UNIVERSAL_DRIVERS!$C$31)^2</f>
        <v>-721440.752138934</v>
      </c>
    </row>
    <row r="28" customFormat="false" ht="15" hidden="false" customHeight="true" outlineLevel="0" collapsed="false">
      <c r="B28" s="631" t="s">
        <v>153</v>
      </c>
      <c r="C28" s="361" t="n">
        <f aca="false">-'Sponsorships · 8-Year'!C17</f>
        <v>-101368</v>
      </c>
      <c r="D28" s="361" t="n">
        <f aca="false">-'Sponsorships · 8-Year'!D17</f>
        <v>-106773.92</v>
      </c>
      <c r="E28" s="361" t="n">
        <f aca="false">-'Sponsorships · 8-Year'!E17</f>
        <v>-112412.964</v>
      </c>
      <c r="F28" s="361" t="n">
        <f aca="false">-'Sponsorships · 8-Year'!F17</f>
        <v>-115785.35292</v>
      </c>
      <c r="G28" s="361" t="n">
        <f aca="false">-'Sponsorships · 8-Year'!G17</f>
        <v>-119258.9135076</v>
      </c>
      <c r="H28" s="361" t="n">
        <f aca="false">-'Sponsorships · 8-Year'!H17</f>
        <v>-124167.527550124</v>
      </c>
      <c r="I28" s="361" t="n">
        <f aca="false">-'Sponsorships · 8-Year'!I17</f>
        <v>-127892.553376628</v>
      </c>
      <c r="J28" s="361" t="n">
        <f aca="false">-'Sponsorships · 8-Year'!J17</f>
        <v>-131729.329977927</v>
      </c>
      <c r="K28" s="361" t="n">
        <f aca="false">-'Sponsorships · 8-Year'!J17*(1+UNIVERSAL_DRIVERS!$C$31)</f>
        <v>-138315.796476823</v>
      </c>
      <c r="L28" s="361" t="n">
        <f aca="false">-'Sponsorships · 8-Year'!J17*(1+UNIVERSAL_DRIVERS!$C$31)^2</f>
        <v>-145231.586300665</v>
      </c>
    </row>
    <row r="29" customFormat="false" ht="15" hidden="false" customHeight="true" outlineLevel="0" collapsed="false">
      <c r="B29" s="631" t="s">
        <v>155</v>
      </c>
      <c r="C29" s="361" t="n">
        <f aca="false">-'Borderless · 8-Year'!C17</f>
        <v>-77200</v>
      </c>
      <c r="D29" s="361" t="n">
        <f aca="false">-'Borderless · 8-Year'!D17</f>
        <v>-87395.5</v>
      </c>
      <c r="E29" s="361" t="n">
        <f aca="false">-'Borderless · 8-Year'!E17</f>
        <v>-98133.25</v>
      </c>
      <c r="F29" s="361" t="n">
        <f aca="false">-'Borderless · 8-Year'!F17</f>
        <v>-101077.2475</v>
      </c>
      <c r="G29" s="361" t="n">
        <f aca="false">-'Borderless · 8-Year'!G17</f>
        <v>-104109.564925</v>
      </c>
      <c r="H29" s="361" t="n">
        <f aca="false">-'Borderless · 8-Year'!H17</f>
        <v>-111667.075206948</v>
      </c>
      <c r="I29" s="361" t="n">
        <f aca="false">-'Borderless · 8-Year'!I17</f>
        <v>-115017.087463156</v>
      </c>
      <c r="J29" s="361" t="n">
        <f aca="false">-'Borderless · 8-Year'!J17</f>
        <v>-118467.600087051</v>
      </c>
      <c r="K29" s="361" t="n">
        <f aca="false">-'Borderless · 8-Year'!J17*(1+UNIVERSAL_DRIVERS!$C$31)</f>
        <v>-124390.980091403</v>
      </c>
      <c r="L29" s="361" t="n">
        <f aca="false">-'Borderless · 8-Year'!J17*(1+UNIVERSAL_DRIVERS!$C$31)^2</f>
        <v>-130610.529095973</v>
      </c>
    </row>
    <row r="30" customFormat="false" ht="15" hidden="false" customHeight="true" outlineLevel="0" collapsed="false">
      <c r="B30" s="551" t="s">
        <v>2136</v>
      </c>
      <c r="C30" s="630" t="n">
        <f aca="false">SUM(C21:C29)</f>
        <v>-2419793.24814675</v>
      </c>
      <c r="D30" s="630" t="n">
        <f aca="false">SUM(D21:D29)</f>
        <v>-2583177.2552345</v>
      </c>
      <c r="E30" s="630" t="n">
        <f aca="false">SUM(E21:E29)</f>
        <v>-2751119.61086118</v>
      </c>
      <c r="F30" s="630" t="n">
        <f aca="false">SUM(F21:F29)</f>
        <v>-2804332.04590701</v>
      </c>
      <c r="G30" s="630" t="n">
        <f aca="false">SUM(G21:G29)</f>
        <v>-2901143.66387592</v>
      </c>
      <c r="H30" s="630" t="n">
        <f aca="false">SUM(H21:H29)</f>
        <v>-3021962.45156915</v>
      </c>
      <c r="I30" s="630" t="n">
        <f aca="false">SUM(I21:I29)</f>
        <v>-3120813.62263036</v>
      </c>
      <c r="J30" s="630" t="n">
        <f aca="false">SUM(J21:J29)</f>
        <v>-3219059.75973157</v>
      </c>
      <c r="K30" s="630" t="n">
        <f aca="false">SUM(K21:K29)</f>
        <v>-3380012.74771815</v>
      </c>
      <c r="L30" s="630" t="n">
        <f aca="false">SUM(L21:L29)</f>
        <v>-3549013.38510406</v>
      </c>
    </row>
    <row r="32" customFormat="false" ht="15" hidden="false" customHeight="true" outlineLevel="0" collapsed="false">
      <c r="B32" s="632" t="s">
        <v>2137</v>
      </c>
      <c r="C32" s="633" t="n">
        <f aca="false">C18+C30</f>
        <v>2917824.47185325</v>
      </c>
      <c r="D32" s="633" t="n">
        <f aca="false">D18+D30</f>
        <v>3421642.6797655</v>
      </c>
      <c r="E32" s="633" t="n">
        <f aca="false">E18+E30</f>
        <v>3920902.53913882</v>
      </c>
      <c r="F32" s="633" t="n">
        <f aca="false">F18+F30</f>
        <v>3867690.10409299</v>
      </c>
      <c r="G32" s="633" t="n">
        <f aca="false">G18+G30</f>
        <v>4104479.59362408</v>
      </c>
      <c r="H32" s="633" t="n">
        <f aca="false">H18+H30</f>
        <v>4905279.98896273</v>
      </c>
      <c r="I32" s="633" t="n">
        <f aca="false">I18+I30</f>
        <v>5112161.10950527</v>
      </c>
      <c r="J32" s="633" t="n">
        <f aca="false">J18+J30</f>
        <v>5307114.85172387</v>
      </c>
      <c r="K32" s="633" t="n">
        <f aca="false">K18+K30</f>
        <v>5572470.59431006</v>
      </c>
      <c r="L32" s="633" t="n">
        <f aca="false">L18+L30</f>
        <v>5851094.12402557</v>
      </c>
    </row>
    <row r="33" customFormat="false" ht="15" hidden="false" customHeight="true" outlineLevel="0" collapsed="false">
      <c r="B33" s="634" t="s">
        <v>2138</v>
      </c>
      <c r="C33" s="635" t="n">
        <f aca="false">C32/C18</f>
        <v>0.546652949858172</v>
      </c>
      <c r="D33" s="635" t="n">
        <f aca="false">D32/D18</f>
        <v>0.569816033920008</v>
      </c>
      <c r="E33" s="635" t="n">
        <f aca="false">E32/E18</f>
        <v>0.58766329772134</v>
      </c>
      <c r="F33" s="635" t="n">
        <f aca="false">F32/F18</f>
        <v>0.579687839329638</v>
      </c>
      <c r="G33" s="635" t="n">
        <f aca="false">G32/G18</f>
        <v>0.585883574203045</v>
      </c>
      <c r="H33" s="635" t="n">
        <f aca="false">H32/H18</f>
        <v>0.618787683833423</v>
      </c>
      <c r="I33" s="635" t="n">
        <f aca="false">I32/I18</f>
        <v>0.620937301016006</v>
      </c>
      <c r="J33" s="635" t="n">
        <f aca="false">J32/J18</f>
        <v>0.622449702659553</v>
      </c>
      <c r="K33" s="635" t="n">
        <f aca="false">K32/K18</f>
        <v>0.622449702659553</v>
      </c>
      <c r="L33" s="635" t="n">
        <f aca="false">L32/L18</f>
        <v>0.622449702659553</v>
      </c>
    </row>
    <row r="35" customFormat="false" ht="19.5" hidden="false" customHeight="true" outlineLevel="0" collapsed="false">
      <c r="B35" s="629" t="s">
        <v>2139</v>
      </c>
      <c r="C35" s="629"/>
      <c r="D35" s="629"/>
      <c r="E35" s="629"/>
      <c r="F35" s="629"/>
      <c r="G35" s="629"/>
      <c r="H35" s="629"/>
      <c r="I35" s="629"/>
      <c r="J35" s="629"/>
      <c r="K35" s="629"/>
      <c r="L35" s="629"/>
    </row>
    <row r="36" customFormat="false" ht="15" hidden="false" customHeight="true" outlineLevel="0" collapsed="false">
      <c r="B36" s="631" t="s">
        <v>2140</v>
      </c>
      <c r="C36" s="361" t="n">
        <f aca="false">-'Master Cost'!$C$55*UNIVERSAL_DRIVERS!$C$19</f>
        <v>-1409240.5316</v>
      </c>
      <c r="D36" s="361" t="n">
        <f aca="false">-'Master Cost'!$C$55*UNIVERSAL_DRIVERS!$C$20</f>
        <v>-1585395.59805</v>
      </c>
      <c r="E36" s="361" t="n">
        <f aca="false">-'Master Cost'!$C$55*(1+UNIVERSAL_DRIVERS!$C$22)^(3-3)</f>
        <v>-1761550.6645</v>
      </c>
      <c r="F36" s="361" t="n">
        <f aca="false">-'Master Cost'!$C$55*(1+UNIVERSAL_DRIVERS!$C$22)^(4-3)</f>
        <v>-1814397.184435</v>
      </c>
      <c r="G36" s="361" t="n">
        <f aca="false">-'Master Cost'!$C$55*(1+UNIVERSAL_DRIVERS!$C$22)^(5-3)</f>
        <v>-1868829.09996805</v>
      </c>
      <c r="H36" s="361" t="n">
        <f aca="false">-'Master Cost'!$C$55*(1+UNIVERSAL_DRIVERS!$C$22)^(6-3)</f>
        <v>-1924893.97296709</v>
      </c>
      <c r="I36" s="361" t="n">
        <f aca="false">-'Master Cost'!$C$55*(1+UNIVERSAL_DRIVERS!$C$22)^(7-3)</f>
        <v>-1982640.7921561</v>
      </c>
      <c r="J36" s="361" t="n">
        <f aca="false">-'Master Cost'!$C$55*(1+UNIVERSAL_DRIVERS!$C$22)^(8-3)</f>
        <v>-2042120.01592079</v>
      </c>
      <c r="K36" s="361" t="n">
        <f aca="false">-'Master Cost'!$C$55*(1+UNIVERSAL_DRIVERS!$C$22)^(9-3)</f>
        <v>-2103383.61639841</v>
      </c>
      <c r="L36" s="361" t="n">
        <f aca="false">-'Master Cost'!$C$55*(1+UNIVERSAL_DRIVERS!$C$22)^(10-3)</f>
        <v>-2166485.12489036</v>
      </c>
    </row>
    <row r="38" customFormat="false" ht="15" hidden="false" customHeight="true" outlineLevel="0" collapsed="false">
      <c r="B38" s="551" t="s">
        <v>2141</v>
      </c>
      <c r="C38" s="630" t="n">
        <f aca="false">C32+C36</f>
        <v>1508583.94025325</v>
      </c>
      <c r="D38" s="630" t="n">
        <f aca="false">D32+D36</f>
        <v>1836247.0817155</v>
      </c>
      <c r="E38" s="630" t="n">
        <f aca="false">E32+E36</f>
        <v>2159351.87463882</v>
      </c>
      <c r="F38" s="630" t="n">
        <f aca="false">F32+F36</f>
        <v>2053292.91965799</v>
      </c>
      <c r="G38" s="630" t="n">
        <f aca="false">G32+G36</f>
        <v>2235650.49365603</v>
      </c>
      <c r="H38" s="630" t="n">
        <f aca="false">H32+H36</f>
        <v>2980386.01599564</v>
      </c>
      <c r="I38" s="630" t="n">
        <f aca="false">I32+I36</f>
        <v>3129520.31734916</v>
      </c>
      <c r="J38" s="630" t="n">
        <f aca="false">J32+J36</f>
        <v>3264994.83580308</v>
      </c>
      <c r="K38" s="630" t="n">
        <f aca="false">K32+K36</f>
        <v>3469086.97791165</v>
      </c>
      <c r="L38" s="630" t="n">
        <f aca="false">L32+L36</f>
        <v>3684608.9991352</v>
      </c>
    </row>
    <row r="39" customFormat="false" ht="15" hidden="false" customHeight="true" outlineLevel="0" collapsed="false">
      <c r="B39" s="634" t="s">
        <v>2142</v>
      </c>
      <c r="C39" s="635" t="n">
        <f aca="false">C38/C18</f>
        <v>0.282632443796153</v>
      </c>
      <c r="D39" s="635" t="n">
        <f aca="false">D38/D18</f>
        <v>0.305795527857989</v>
      </c>
      <c r="E39" s="635" t="n">
        <f aca="false">E38/E18</f>
        <v>0.323642791659321</v>
      </c>
      <c r="F39" s="635" t="n">
        <f aca="false">F38/F18</f>
        <v>0.307746718085759</v>
      </c>
      <c r="G39" s="635" t="n">
        <f aca="false">G38/G18</f>
        <v>0.319122283840002</v>
      </c>
      <c r="H39" s="635" t="n">
        <f aca="false">H38/H18</f>
        <v>0.375967562283319</v>
      </c>
      <c r="I39" s="635" t="n">
        <f aca="false">I38/I18</f>
        <v>0.380120238330595</v>
      </c>
      <c r="J39" s="635" t="n">
        <f aca="false">J38/J18</f>
        <v>0.382937833740393</v>
      </c>
      <c r="K39" s="635" t="n">
        <f aca="false">K38/K18</f>
        <v>0.387499964576948</v>
      </c>
      <c r="L39" s="635" t="n">
        <f aca="false">L38/L18</f>
        <v>0.391975197683284</v>
      </c>
    </row>
    <row r="41" customFormat="false" ht="19.5" hidden="false" customHeight="true" outlineLevel="0" collapsed="false">
      <c r="B41" s="629" t="s">
        <v>2143</v>
      </c>
      <c r="C41" s="629"/>
      <c r="D41" s="629"/>
      <c r="E41" s="629"/>
      <c r="F41" s="629"/>
      <c r="G41" s="629"/>
      <c r="H41" s="629"/>
      <c r="I41" s="629"/>
      <c r="J41" s="629"/>
      <c r="K41" s="629"/>
      <c r="L41" s="629"/>
    </row>
    <row r="42" customFormat="false" ht="15" hidden="false" customHeight="true" outlineLevel="0" collapsed="false">
      <c r="B42" s="631" t="s">
        <v>2144</v>
      </c>
      <c r="C42" s="361" t="n">
        <f aca="false">-Schedules!C9</f>
        <v>-1965904.76190476</v>
      </c>
      <c r="D42" s="361" t="n">
        <f aca="false">-Schedules!D9</f>
        <v>-1965904.76190476</v>
      </c>
      <c r="E42" s="361" t="n">
        <f aca="false">-Schedules!E9</f>
        <v>-1965904.76190476</v>
      </c>
      <c r="F42" s="361" t="n">
        <f aca="false">-Schedules!F9</f>
        <v>-1965904.76190476</v>
      </c>
      <c r="G42" s="361" t="n">
        <f aca="false">-Schedules!G9</f>
        <v>-1965904.76190476</v>
      </c>
      <c r="H42" s="361" t="n">
        <f aca="false">-Schedules!H9</f>
        <v>-1965904.76190476</v>
      </c>
      <c r="I42" s="361" t="n">
        <f aca="false">-Schedules!I9</f>
        <v>-1965904.76190476</v>
      </c>
      <c r="J42" s="361" t="n">
        <f aca="false">-Schedules!J9</f>
        <v>-1337333.33333333</v>
      </c>
      <c r="K42" s="361" t="n">
        <v>0</v>
      </c>
      <c r="L42" s="361" t="n">
        <v>0</v>
      </c>
    </row>
    <row r="44" customFormat="false" ht="15" hidden="false" customHeight="true" outlineLevel="0" collapsed="false">
      <c r="B44" s="632" t="s">
        <v>2145</v>
      </c>
      <c r="C44" s="633" t="n">
        <f aca="false">C38+C42</f>
        <v>-457320.821651512</v>
      </c>
      <c r="D44" s="633" t="n">
        <f aca="false">D38+D42</f>
        <v>-129657.680189263</v>
      </c>
      <c r="E44" s="633" t="n">
        <f aca="false">E38+E42</f>
        <v>193447.112734061</v>
      </c>
      <c r="F44" s="633" t="n">
        <f aca="false">F38+F42</f>
        <v>87388.1577532259</v>
      </c>
      <c r="G44" s="633" t="n">
        <f aca="false">G38+G42</f>
        <v>269745.73175127</v>
      </c>
      <c r="H44" s="633" t="n">
        <f aca="false">H38+H42</f>
        <v>1014481.25409088</v>
      </c>
      <c r="I44" s="633" t="n">
        <f aca="false">I38+I42</f>
        <v>1163615.5554444</v>
      </c>
      <c r="J44" s="633" t="n">
        <f aca="false">J38+J42</f>
        <v>1927661.50246975</v>
      </c>
      <c r="K44" s="633" t="n">
        <f aca="false">K38+K42</f>
        <v>3469086.97791165</v>
      </c>
      <c r="L44" s="633" t="n">
        <f aca="false">L38+L42</f>
        <v>3684608.9991352</v>
      </c>
    </row>
    <row r="46" customFormat="false" ht="19.5" hidden="false" customHeight="true" outlineLevel="0" collapsed="false">
      <c r="B46" s="629" t="s">
        <v>2146</v>
      </c>
      <c r="C46" s="629"/>
      <c r="D46" s="629"/>
      <c r="E46" s="629"/>
      <c r="F46" s="629"/>
      <c r="G46" s="629"/>
      <c r="H46" s="629"/>
      <c r="I46" s="629"/>
      <c r="J46" s="629"/>
      <c r="K46" s="629"/>
      <c r="L46" s="629"/>
    </row>
    <row r="47" customFormat="false" ht="15" hidden="false" customHeight="true" outlineLevel="0" collapsed="false">
      <c r="B47" s="631" t="s">
        <v>2147</v>
      </c>
      <c r="C47" s="361" t="n">
        <f aca="false">-'Debt Schedule'!C11</f>
        <v>-238140</v>
      </c>
      <c r="D47" s="361" t="n">
        <f aca="false">-'Debt Schedule'!D11</f>
        <v>-204120</v>
      </c>
      <c r="E47" s="361" t="n">
        <f aca="false">-'Debt Schedule'!E11</f>
        <v>-170100</v>
      </c>
      <c r="F47" s="361" t="n">
        <f aca="false">-'Debt Schedule'!F11</f>
        <v>-136080</v>
      </c>
      <c r="G47" s="361" t="n">
        <f aca="false">-'Debt Schedule'!G11</f>
        <v>-102060</v>
      </c>
      <c r="H47" s="361" t="n">
        <f aca="false">-'Debt Schedule'!H11</f>
        <v>-68040</v>
      </c>
      <c r="I47" s="361" t="n">
        <f aca="false">-'Debt Schedule'!I11</f>
        <v>-34020</v>
      </c>
      <c r="J47" s="361" t="n">
        <f aca="false">-'Debt Schedule'!J11</f>
        <v>-0</v>
      </c>
      <c r="K47" s="361" t="n">
        <f aca="false">-'Debt Schedule'!K11</f>
        <v>-0</v>
      </c>
      <c r="L47" s="361" t="n">
        <f aca="false">-'Debt Schedule'!L11</f>
        <v>-0</v>
      </c>
    </row>
    <row r="49" customFormat="false" ht="15" hidden="false" customHeight="true" outlineLevel="0" collapsed="false">
      <c r="B49" s="83" t="s">
        <v>2148</v>
      </c>
      <c r="C49" s="636" t="n">
        <f aca="false">C44+C47</f>
        <v>-695460.821651512</v>
      </c>
      <c r="D49" s="636" t="n">
        <f aca="false">D44+D47</f>
        <v>-333777.680189263</v>
      </c>
      <c r="E49" s="636" t="n">
        <f aca="false">E44+E47</f>
        <v>23347.1127340614</v>
      </c>
      <c r="F49" s="636" t="n">
        <f aca="false">F44+F47</f>
        <v>-48691.8422467741</v>
      </c>
      <c r="G49" s="636" t="n">
        <f aca="false">G44+G47</f>
        <v>167685.73175127</v>
      </c>
      <c r="H49" s="636" t="n">
        <f aca="false">H44+H47</f>
        <v>946441.254090879</v>
      </c>
      <c r="I49" s="636" t="n">
        <f aca="false">I44+I47</f>
        <v>1129595.5554444</v>
      </c>
      <c r="J49" s="636" t="n">
        <f aca="false">J44+J47</f>
        <v>1927661.50246975</v>
      </c>
      <c r="K49" s="636" t="n">
        <f aca="false">K44+K47</f>
        <v>3469086.97791165</v>
      </c>
      <c r="L49" s="636" t="n">
        <f aca="false">L44+L47</f>
        <v>3684608.9991352</v>
      </c>
    </row>
    <row r="51" customFormat="false" ht="19.5" hidden="false" customHeight="true" outlineLevel="0" collapsed="false">
      <c r="B51" s="629" t="s">
        <v>2149</v>
      </c>
      <c r="C51" s="629"/>
      <c r="D51" s="629"/>
      <c r="E51" s="629"/>
      <c r="F51" s="629"/>
      <c r="G51" s="629"/>
      <c r="H51" s="629"/>
      <c r="I51" s="629"/>
      <c r="J51" s="629"/>
      <c r="K51" s="629"/>
      <c r="L51" s="629"/>
    </row>
    <row r="52" customFormat="false" ht="15" hidden="false" customHeight="true" outlineLevel="0" collapsed="false">
      <c r="B52" s="631" t="s">
        <v>2150</v>
      </c>
      <c r="C52" s="361" t="n">
        <f aca="false">-MAX(0,C49)*UNIVERSAL_DRIVERS!$C$11</f>
        <v>-0</v>
      </c>
      <c r="D52" s="361" t="n">
        <f aca="false">-MAX(0,D49)*UNIVERSAL_DRIVERS!$C$11</f>
        <v>-0</v>
      </c>
      <c r="E52" s="361" t="n">
        <f aca="false">-MAX(0,E49)*UNIVERSAL_DRIVERS!$C$11</f>
        <v>-3618.80247377952</v>
      </c>
      <c r="F52" s="361" t="n">
        <f aca="false">-MAX(0,F49)*UNIVERSAL_DRIVERS!$C$11</f>
        <v>-0</v>
      </c>
      <c r="G52" s="361" t="n">
        <f aca="false">-MAX(0,G49)*UNIVERSAL_DRIVERS!$C$11</f>
        <v>-25991.2884214468</v>
      </c>
      <c r="H52" s="361" t="n">
        <f aca="false">-MAX(0,H49)*UNIVERSAL_DRIVERS!$C$11</f>
        <v>-146698.394384086</v>
      </c>
      <c r="I52" s="361" t="n">
        <f aca="false">-MAX(0,I49)*UNIVERSAL_DRIVERS!$C$11</f>
        <v>-175087.311093882</v>
      </c>
      <c r="J52" s="361" t="n">
        <f aca="false">-MAX(0,J49)*UNIVERSAL_DRIVERS!$C$11</f>
        <v>-298787.532882811</v>
      </c>
      <c r="K52" s="361" t="n">
        <f aca="false">-MAX(0,K49)*UNIVERSAL_DRIVERS!$C$11</f>
        <v>-537708.481576306</v>
      </c>
      <c r="L52" s="361" t="n">
        <f aca="false">-MAX(0,L49)*UNIVERSAL_DRIVERS!$C$11</f>
        <v>-571114.394865956</v>
      </c>
    </row>
    <row r="54" customFormat="false" ht="15" hidden="false" customHeight="true" outlineLevel="0" collapsed="false">
      <c r="B54" s="551" t="s">
        <v>2151</v>
      </c>
      <c r="C54" s="630" t="n">
        <f aca="false">C49+C52</f>
        <v>-695460.821651512</v>
      </c>
      <c r="D54" s="630" t="n">
        <f aca="false">D49+D52</f>
        <v>-333777.680189263</v>
      </c>
      <c r="E54" s="630" t="n">
        <f aca="false">E49+E52</f>
        <v>19728.3102602819</v>
      </c>
      <c r="F54" s="630" t="n">
        <f aca="false">F49+F52</f>
        <v>-48691.8422467741</v>
      </c>
      <c r="G54" s="630" t="n">
        <f aca="false">G49+G52</f>
        <v>141694.443329823</v>
      </c>
      <c r="H54" s="630" t="n">
        <f aca="false">H49+H52</f>
        <v>799742.859706793</v>
      </c>
      <c r="I54" s="630" t="n">
        <f aca="false">I49+I52</f>
        <v>954508.244350518</v>
      </c>
      <c r="J54" s="630" t="n">
        <f aca="false">J49+J52</f>
        <v>1628873.96958694</v>
      </c>
      <c r="K54" s="630" t="n">
        <f aca="false">K49+K52</f>
        <v>2931378.49633535</v>
      </c>
      <c r="L54" s="630" t="n">
        <f aca="false">L49+L52</f>
        <v>3113494.60426925</v>
      </c>
    </row>
    <row r="55" customFormat="false" ht="15" hidden="false" customHeight="true" outlineLevel="0" collapsed="false">
      <c r="B55" s="634" t="s">
        <v>2152</v>
      </c>
      <c r="C55" s="635" t="n">
        <f aca="false">C54/C18</f>
        <v>-0.130294235768445</v>
      </c>
      <c r="D55" s="635" t="n">
        <f aca="false">D54/D18</f>
        <v>-0.0555849607152729</v>
      </c>
      <c r="E55" s="635" t="n">
        <f aca="false">E54/E18</f>
        <v>0.00295687121786337</v>
      </c>
      <c r="F55" s="635" t="n">
        <f aca="false">F54/F18</f>
        <v>-0.0072979137586907</v>
      </c>
      <c r="G55" s="635" t="n">
        <f aca="false">G54/G18</f>
        <v>0.0202258154801758</v>
      </c>
      <c r="H55" s="635" t="n">
        <f aca="false">H54/H18</f>
        <v>0.100885379210521</v>
      </c>
      <c r="I55" s="635" t="n">
        <f aca="false">I54/I18</f>
        <v>0.115937225049994</v>
      </c>
      <c r="J55" s="635" t="n">
        <f aca="false">J54/J18</f>
        <v>0.19104393750023</v>
      </c>
      <c r="K55" s="635" t="n">
        <f aca="false">K54/K18</f>
        <v>0.327437470067521</v>
      </c>
      <c r="L55" s="635" t="n">
        <f aca="false">L54/L18</f>
        <v>0.331219042042375</v>
      </c>
    </row>
  </sheetData>
  <mergeCells count="8">
    <mergeCell ref="B2:L2"/>
    <mergeCell ref="B3:L3"/>
    <mergeCell ref="B8:L8"/>
    <mergeCell ref="B20:L20"/>
    <mergeCell ref="B35:L35"/>
    <mergeCell ref="B41:L41"/>
    <mergeCell ref="B46:L46"/>
    <mergeCell ref="B51:L5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J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24" activePane="bottomRight" state="frozen"/>
      <selection pane="topLeft" activeCell="A1" activeCellId="0" sqref="A1"/>
      <selection pane="topRight" activeCell="C1" activeCellId="0" sqref="C1"/>
      <selection pane="bottomLeft" activeCell="A24" activeCellId="0" sqref="A24"/>
      <selection pane="bottomRight" activeCell="C53" activeCellId="0" sqref="C53"/>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42.16"/>
    <col collapsed="false" customWidth="true" hidden="false" outlineLevel="0" max="3" min="3" style="0" width="15.83"/>
    <col collapsed="false" customWidth="true" hidden="false" outlineLevel="0" max="6" min="4" style="0" width="13.83"/>
    <col collapsed="false" customWidth="true" hidden="false" outlineLevel="0" max="10" min="7" style="0" width="13"/>
  </cols>
  <sheetData>
    <row r="1" customFormat="false" ht="15" hidden="false" customHeight="true" outlineLevel="0" collapsed="false">
      <c r="B1" s="6"/>
    </row>
    <row r="2" customFormat="false" ht="33.75" hidden="false" customHeight="true" outlineLevel="0" collapsed="false">
      <c r="B2" s="88" t="s">
        <v>2153</v>
      </c>
      <c r="C2" s="88"/>
      <c r="D2" s="88"/>
      <c r="E2" s="88"/>
      <c r="F2" s="88"/>
      <c r="G2" s="88"/>
      <c r="H2" s="88"/>
      <c r="I2" s="88"/>
      <c r="J2" s="88"/>
    </row>
    <row r="3" customFormat="false" ht="48.75" hidden="false" customHeight="true" outlineLevel="0" collapsed="false">
      <c r="B3" s="90" t="s">
        <v>2154</v>
      </c>
      <c r="C3" s="90"/>
      <c r="D3" s="90"/>
      <c r="E3" s="90"/>
      <c r="F3" s="90"/>
      <c r="G3" s="90"/>
      <c r="H3" s="90"/>
      <c r="I3" s="90"/>
      <c r="J3" s="90"/>
    </row>
    <row r="4" customFormat="false" ht="15" hidden="false" customHeight="true" outlineLevel="0" collapsed="false">
      <c r="B4" s="6"/>
    </row>
    <row r="5" customFormat="false" ht="21.75" hidden="false" customHeight="true" outlineLevel="0" collapsed="false">
      <c r="B5" s="439" t="s">
        <v>1141</v>
      </c>
      <c r="C5" s="637" t="s">
        <v>760</v>
      </c>
      <c r="D5" s="637" t="s">
        <v>908</v>
      </c>
      <c r="E5" s="637" t="s">
        <v>765</v>
      </c>
      <c r="F5" s="637" t="s">
        <v>770</v>
      </c>
      <c r="G5" s="637" t="s">
        <v>909</v>
      </c>
      <c r="H5" s="637" t="s">
        <v>910</v>
      </c>
      <c r="I5" s="637" t="s">
        <v>911</v>
      </c>
      <c r="J5" s="637" t="s">
        <v>912</v>
      </c>
    </row>
    <row r="6" customFormat="false" ht="19.5" hidden="false" customHeight="true" outlineLevel="0" collapsed="false">
      <c r="B6" s="332" t="s">
        <v>2155</v>
      </c>
      <c r="C6" s="332"/>
      <c r="D6" s="332"/>
      <c r="E6" s="332"/>
      <c r="F6" s="332"/>
      <c r="G6" s="332"/>
      <c r="H6" s="332"/>
      <c r="I6" s="332"/>
      <c r="J6" s="332"/>
    </row>
    <row r="7" customFormat="false" ht="15" hidden="false" customHeight="true" outlineLevel="0" collapsed="false">
      <c r="B7" s="113" t="s">
        <v>217</v>
      </c>
      <c r="C7" s="385" t="n">
        <f aca="false">'Master Revenue'!F7</f>
        <v>800798.68</v>
      </c>
      <c r="D7" s="385" t="n">
        <f aca="false">'Master Revenue'!G7</f>
        <v>900898.515</v>
      </c>
      <c r="E7" s="385" t="n">
        <f aca="false">'Master Revenue'!H7</f>
        <v>1000998.35</v>
      </c>
      <c r="F7" s="385" t="n">
        <f aca="false">'Master Revenue'!I7</f>
        <v>1000998.35</v>
      </c>
      <c r="G7" s="385" t="n">
        <f aca="false">'Master Revenue'!J7</f>
        <v>1051048.2675</v>
      </c>
      <c r="H7" s="385" t="n">
        <f aca="false">G7*(1+UNIVERSAL_DRIVERS!$C$8)^1</f>
        <v>1082579.715525</v>
      </c>
      <c r="I7" s="385" t="n">
        <f aca="false">G7*(1+UNIVERSAL_DRIVERS!$C$8)^2</f>
        <v>1115057.10699075</v>
      </c>
      <c r="J7" s="385" t="n">
        <f aca="false">G7*(1+UNIVERSAL_DRIVERS!$C$8)^3</f>
        <v>1148508.82020047</v>
      </c>
    </row>
    <row r="8" customFormat="false" ht="15" hidden="false" customHeight="true" outlineLevel="0" collapsed="false">
      <c r="B8" s="113" t="s">
        <v>218</v>
      </c>
      <c r="C8" s="385" t="n">
        <f aca="false">'Master Revenue'!F8</f>
        <v>964968</v>
      </c>
      <c r="D8" s="385" t="n">
        <f aca="false">'Master Revenue'!G8</f>
        <v>1085589</v>
      </c>
      <c r="E8" s="385" t="n">
        <f aca="false">'Master Revenue'!H8</f>
        <v>1206210</v>
      </c>
      <c r="F8" s="385" t="n">
        <f aca="false">'Master Revenue'!I8</f>
        <v>1206210</v>
      </c>
      <c r="G8" s="385" t="n">
        <f aca="false">'Master Revenue'!J8</f>
        <v>1266520.5</v>
      </c>
      <c r="H8" s="385" t="n">
        <f aca="false">G8*(1+UNIVERSAL_DRIVERS!$C$8)^1</f>
        <v>1304516.115</v>
      </c>
      <c r="I8" s="385" t="n">
        <f aca="false">G8*(1+UNIVERSAL_DRIVERS!$C$8)^2</f>
        <v>1343651.59845</v>
      </c>
      <c r="J8" s="385" t="n">
        <f aca="false">G8*(1+UNIVERSAL_DRIVERS!$C$8)^3</f>
        <v>1383961.1464035</v>
      </c>
    </row>
    <row r="9" customFormat="false" ht="15" hidden="false" customHeight="true" outlineLevel="0" collapsed="false">
      <c r="B9" s="113" t="s">
        <v>145</v>
      </c>
      <c r="C9" s="385" t="n">
        <f aca="false">'Master Revenue'!F9</f>
        <v>1276056</v>
      </c>
      <c r="D9" s="385" t="n">
        <f aca="false">'Master Revenue'!G9</f>
        <v>1435563</v>
      </c>
      <c r="E9" s="385" t="n">
        <f aca="false">'Master Revenue'!H9</f>
        <v>1595070</v>
      </c>
      <c r="F9" s="385" t="n">
        <f aca="false">'Master Revenue'!I9</f>
        <v>1595070</v>
      </c>
      <c r="G9" s="385" t="n">
        <f aca="false">'Master Revenue'!J9</f>
        <v>1674823.5</v>
      </c>
      <c r="H9" s="385" t="n">
        <f aca="false">G9*(1+UNIVERSAL_DRIVERS!$C$8)^1</f>
        <v>1725068.205</v>
      </c>
      <c r="I9" s="385" t="n">
        <f aca="false">G9*(1+UNIVERSAL_DRIVERS!$C$8)^2</f>
        <v>1776820.25115</v>
      </c>
      <c r="J9" s="385" t="n">
        <f aca="false">G9*(1+UNIVERSAL_DRIVERS!$C$8)^3</f>
        <v>1830124.8586845</v>
      </c>
    </row>
    <row r="10" customFormat="false" ht="15" hidden="false" customHeight="true" outlineLevel="0" collapsed="false">
      <c r="B10" s="113" t="s">
        <v>219</v>
      </c>
      <c r="C10" s="385" t="n">
        <f aca="false">'Master Revenue'!F10</f>
        <v>554925.12</v>
      </c>
      <c r="D10" s="385" t="n">
        <f aca="false">'Master Revenue'!G10</f>
        <v>624290.76</v>
      </c>
      <c r="E10" s="385" t="n">
        <f aca="false">'Master Revenue'!H10</f>
        <v>693656.4</v>
      </c>
      <c r="F10" s="385" t="n">
        <f aca="false">'Master Revenue'!I10</f>
        <v>693656.4</v>
      </c>
      <c r="G10" s="385" t="n">
        <f aca="false">'Master Revenue'!J10</f>
        <v>728339.22</v>
      </c>
      <c r="H10" s="385" t="n">
        <f aca="false">G10*(1+UNIVERSAL_DRIVERS!$C$8)^1</f>
        <v>750189.3966</v>
      </c>
      <c r="I10" s="385" t="n">
        <f aca="false">G10*(1+UNIVERSAL_DRIVERS!$C$8)^2</f>
        <v>772695.078498</v>
      </c>
      <c r="J10" s="385" t="n">
        <f aca="false">G10*(1+UNIVERSAL_DRIVERS!$C$8)^3</f>
        <v>795875.93085294</v>
      </c>
    </row>
    <row r="11" customFormat="false" ht="15" hidden="false" customHeight="true" outlineLevel="0" collapsed="false">
      <c r="B11" s="113" t="s">
        <v>151</v>
      </c>
      <c r="C11" s="385" t="n">
        <f aca="false">'Master Revenue'!F11</f>
        <v>391098.48</v>
      </c>
      <c r="D11" s="385" t="n">
        <f aca="false">'Master Revenue'!G11</f>
        <v>439985.79</v>
      </c>
      <c r="E11" s="385" t="n">
        <f aca="false">'Master Revenue'!H11</f>
        <v>488873.1</v>
      </c>
      <c r="F11" s="385" t="n">
        <f aca="false">'Master Revenue'!I11</f>
        <v>488873.1</v>
      </c>
      <c r="G11" s="385" t="n">
        <f aca="false">'Master Revenue'!J11</f>
        <v>513316.755</v>
      </c>
      <c r="H11" s="385" t="n">
        <f aca="false">G11*(1+UNIVERSAL_DRIVERS!$C$8)^1</f>
        <v>528716.25765</v>
      </c>
      <c r="I11" s="385" t="n">
        <f aca="false">G11*(1+UNIVERSAL_DRIVERS!$C$8)^2</f>
        <v>544577.7453795</v>
      </c>
      <c r="J11" s="385" t="n">
        <f aca="false">G11*(1+UNIVERSAL_DRIVERS!$C$8)^3</f>
        <v>560915.077740885</v>
      </c>
    </row>
    <row r="12" customFormat="false" ht="15" hidden="false" customHeight="true" outlineLevel="0" collapsed="false">
      <c r="B12" s="113" t="s">
        <v>157</v>
      </c>
      <c r="C12" s="385" t="n">
        <f aca="false">'Master Revenue'!F12</f>
        <v>256800</v>
      </c>
      <c r="D12" s="385" t="n">
        <f aca="false">'Master Revenue'!G12</f>
        <v>288900</v>
      </c>
      <c r="E12" s="385" t="n">
        <f aca="false">'Master Revenue'!H12</f>
        <v>321000</v>
      </c>
      <c r="F12" s="385" t="n">
        <f aca="false">'Master Revenue'!I12</f>
        <v>321000</v>
      </c>
      <c r="G12" s="385" t="n">
        <f aca="false">'Master Revenue'!J12</f>
        <v>337050</v>
      </c>
      <c r="H12" s="385" t="n">
        <f aca="false">G12*(1+UNIVERSAL_DRIVERS!$C$8)^1</f>
        <v>347161.5</v>
      </c>
      <c r="I12" s="385" t="n">
        <f aca="false">G12*(1+UNIVERSAL_DRIVERS!$C$8)^2</f>
        <v>357576.345</v>
      </c>
      <c r="J12" s="385" t="n">
        <f aca="false">G12*(1+UNIVERSAL_DRIVERS!$C$8)^3</f>
        <v>368303.63535</v>
      </c>
    </row>
    <row r="13" customFormat="false" ht="15" hidden="false" customHeight="true" outlineLevel="0" collapsed="false">
      <c r="B13" s="113" t="s">
        <v>143</v>
      </c>
      <c r="C13" s="385" t="n">
        <f aca="false">'Master Revenue'!F13</f>
        <v>631771.44</v>
      </c>
      <c r="D13" s="385" t="n">
        <f aca="false">'Master Revenue'!G13</f>
        <v>710742.87</v>
      </c>
      <c r="E13" s="385" t="n">
        <f aca="false">'Master Revenue'!H13</f>
        <v>789714.3</v>
      </c>
      <c r="F13" s="385" t="n">
        <f aca="false">'Master Revenue'!I13</f>
        <v>789714.3</v>
      </c>
      <c r="G13" s="385" t="n">
        <f aca="false">'Master Revenue'!J13</f>
        <v>829200.015</v>
      </c>
      <c r="H13" s="385" t="n">
        <f aca="false">G13*(1+UNIVERSAL_DRIVERS!$C$8)^1</f>
        <v>854076.01545</v>
      </c>
      <c r="I13" s="385" t="n">
        <f aca="false">G13*(1+UNIVERSAL_DRIVERS!$C$8)^2</f>
        <v>879698.2959135</v>
      </c>
      <c r="J13" s="385" t="n">
        <f aca="false">G13*(1+UNIVERSAL_DRIVERS!$C$8)^3</f>
        <v>906089.244790905</v>
      </c>
    </row>
    <row r="14" customFormat="false" ht="15" hidden="false" customHeight="true" outlineLevel="0" collapsed="false">
      <c r="B14" s="113" t="s">
        <v>153</v>
      </c>
      <c r="C14" s="385" t="n">
        <f aca="false">'Master Revenue'!F14</f>
        <v>229600</v>
      </c>
      <c r="D14" s="385" t="n">
        <f aca="false">'Master Revenue'!G14</f>
        <v>258300</v>
      </c>
      <c r="E14" s="385" t="n">
        <f aca="false">'Master Revenue'!H14</f>
        <v>287000</v>
      </c>
      <c r="F14" s="385" t="n">
        <f aca="false">'Master Revenue'!I14</f>
        <v>287000</v>
      </c>
      <c r="G14" s="385" t="n">
        <f aca="false">'Master Revenue'!J14</f>
        <v>301350</v>
      </c>
      <c r="H14" s="385" t="n">
        <f aca="false">G14*(1+UNIVERSAL_DRIVERS!$C$8)^1</f>
        <v>310390.5</v>
      </c>
      <c r="I14" s="385" t="n">
        <f aca="false">G14*(1+UNIVERSAL_DRIVERS!$C$8)^2</f>
        <v>319702.215</v>
      </c>
      <c r="J14" s="385" t="n">
        <f aca="false">G14*(1+UNIVERSAL_DRIVERS!$C$8)^3</f>
        <v>329293.28145</v>
      </c>
    </row>
    <row r="15" customFormat="false" ht="15" hidden="false" customHeight="true" outlineLevel="0" collapsed="false">
      <c r="B15" s="113" t="s">
        <v>155</v>
      </c>
      <c r="C15" s="385" t="n">
        <f aca="false">'Master Revenue'!F15</f>
        <v>231600</v>
      </c>
      <c r="D15" s="385" t="n">
        <f aca="false">'Master Revenue'!G15</f>
        <v>260550</v>
      </c>
      <c r="E15" s="385" t="n">
        <f aca="false">'Master Revenue'!H15</f>
        <v>289500</v>
      </c>
      <c r="F15" s="385" t="n">
        <f aca="false">'Master Revenue'!I15</f>
        <v>289500</v>
      </c>
      <c r="G15" s="385" t="n">
        <f aca="false">'Master Revenue'!J15</f>
        <v>303975</v>
      </c>
      <c r="H15" s="385" t="n">
        <f aca="false">G15*(1+UNIVERSAL_DRIVERS!$C$8)^1</f>
        <v>313094.25</v>
      </c>
      <c r="I15" s="385" t="n">
        <f aca="false">G15*(1+UNIVERSAL_DRIVERS!$C$8)^2</f>
        <v>322487.0775</v>
      </c>
      <c r="J15" s="385" t="n">
        <f aca="false">G15*(1+UNIVERSAL_DRIVERS!$C$8)^3</f>
        <v>332161.689825</v>
      </c>
    </row>
    <row r="16" customFormat="false" ht="24" hidden="false" customHeight="true" outlineLevel="0" collapsed="false">
      <c r="B16" s="439" t="s">
        <v>2134</v>
      </c>
      <c r="C16" s="440" t="n">
        <f aca="false">SUM(C7:C15)</f>
        <v>5337617.72</v>
      </c>
      <c r="D16" s="440" t="n">
        <f aca="false">SUM(D7:D15)</f>
        <v>6004819.935</v>
      </c>
      <c r="E16" s="440" t="n">
        <f aca="false">SUM(E7:E15)</f>
        <v>6672022.15</v>
      </c>
      <c r="F16" s="440" t="n">
        <f aca="false">SUM(F7:F15)</f>
        <v>6672022.15</v>
      </c>
      <c r="G16" s="440" t="n">
        <f aca="false">SUM(G7:G15)</f>
        <v>7005623.2575</v>
      </c>
      <c r="H16" s="440" t="n">
        <f aca="false">SUM(H7:H15)</f>
        <v>7215791.955225</v>
      </c>
      <c r="I16" s="440" t="n">
        <f aca="false">SUM(I7:I15)</f>
        <v>7432265.71388175</v>
      </c>
      <c r="J16" s="440" t="n">
        <f aca="false">SUM(J7:J15)</f>
        <v>7655233.6852982</v>
      </c>
    </row>
    <row r="17" customFormat="false" ht="15" hidden="false" customHeight="true" outlineLevel="0" collapsed="false">
      <c r="B17" s="6"/>
    </row>
    <row r="18" customFormat="false" ht="33.75" hidden="false" customHeight="true" outlineLevel="0" collapsed="false">
      <c r="B18" s="638" t="s">
        <v>2156</v>
      </c>
      <c r="C18" s="638"/>
      <c r="D18" s="638"/>
      <c r="E18" s="638"/>
      <c r="F18" s="638"/>
      <c r="G18" s="638"/>
      <c r="H18" s="638"/>
      <c r="I18" s="638"/>
      <c r="J18" s="638"/>
    </row>
    <row r="19" customFormat="false" ht="15" hidden="false" customHeight="true" outlineLevel="0" collapsed="false">
      <c r="B19" s="639" t="s">
        <v>2157</v>
      </c>
      <c r="C19" s="361" t="n">
        <f aca="false">-'Gaming · 8-Year'!C17</f>
        <v>-449591.22126675</v>
      </c>
      <c r="D19" s="361" t="n">
        <f aca="false">-'Gaming · 8-Year'!D17</f>
        <v>-472297.268234501</v>
      </c>
      <c r="E19" s="361" t="n">
        <f aca="false">-'Gaming · 8-Year'!E17</f>
        <v>-495961.045921177</v>
      </c>
      <c r="F19" s="361" t="n">
        <f aca="false">-'Gaming · 8-Year'!F17</f>
        <v>-510839.877298813</v>
      </c>
      <c r="G19" s="361" t="n">
        <f aca="false">-'Gaming · 8-Year'!G17</f>
        <v>-536238.170209473</v>
      </c>
      <c r="H19" s="361" t="n">
        <f aca="false">-'Gaming · 8-Year'!H17</f>
        <v>-558550.489009425</v>
      </c>
      <c r="I19" s="361" t="n">
        <f aca="false">-'Gaming · 8-Year'!I17</f>
        <v>-579581.622949359</v>
      </c>
      <c r="J19" s="361" t="n">
        <f aca="false">-'Gaming · 8-Year'!J17</f>
        <v>-596969.07163784</v>
      </c>
    </row>
    <row r="20" customFormat="false" ht="15" hidden="false" customHeight="true" outlineLevel="0" collapsed="false">
      <c r="B20" s="639" t="s">
        <v>2158</v>
      </c>
      <c r="C20" s="361" t="n">
        <f aca="false">-'Events · 8-Year'!C17</f>
        <v>-339742.4</v>
      </c>
      <c r="D20" s="361" t="n">
        <f aca="false">-'Events · 8-Year'!D17</f>
        <v>-368835.2</v>
      </c>
      <c r="E20" s="361" t="n">
        <f aca="false">-'Events · 8-Year'!E17</f>
        <v>-397928</v>
      </c>
      <c r="F20" s="361" t="n">
        <f aca="false">-'Events · 8-Year'!F17</f>
        <v>-397928</v>
      </c>
      <c r="G20" s="361" t="n">
        <f aca="false">-'Events · 8-Year'!G17</f>
        <v>-412474.4</v>
      </c>
      <c r="H20" s="361" t="n">
        <f aca="false">-'Events · 8-Year'!H17</f>
        <v>-427748.12</v>
      </c>
      <c r="I20" s="361" t="n">
        <f aca="false">-'Events · 8-Year'!I17</f>
        <v>-443785.526</v>
      </c>
      <c r="J20" s="361" t="n">
        <f aca="false">-'Events · 8-Year'!J17</f>
        <v>-460624.8023</v>
      </c>
    </row>
    <row r="21" customFormat="false" ht="15" hidden="false" customHeight="true" outlineLevel="0" collapsed="false">
      <c r="B21" s="639" t="s">
        <v>2159</v>
      </c>
      <c r="C21" s="361" t="n">
        <f aca="false">-'Academy · 8-Year'!C17</f>
        <v>-486547.6</v>
      </c>
      <c r="D21" s="361" t="n">
        <f aca="false">-'Academy · 8-Year'!D17</f>
        <v>-514778.344</v>
      </c>
      <c r="E21" s="361" t="n">
        <f aca="false">-'Academy · 8-Year'!E17</f>
        <v>-544265.0398</v>
      </c>
      <c r="F21" s="361" t="n">
        <f aca="false">-'Academy · 8-Year'!F17</f>
        <v>-560592.990994</v>
      </c>
      <c r="G21" s="361" t="n">
        <f aca="false">-'Academy · 8-Year'!G17</f>
        <v>-577410.78072382</v>
      </c>
      <c r="H21" s="361" t="n">
        <f aca="false">-'Academy · 8-Year'!H17</f>
        <v>-602405.875533697</v>
      </c>
      <c r="I21" s="361" t="n">
        <f aca="false">-'Academy · 8-Year'!I17</f>
        <v>-620478.051799708</v>
      </c>
      <c r="J21" s="361" t="n">
        <f aca="false">-'Academy · 8-Year'!J17</f>
        <v>-639092.393353699</v>
      </c>
    </row>
    <row r="22" customFormat="false" ht="15" hidden="false" customHeight="true" outlineLevel="0" collapsed="false">
      <c r="B22" s="639" t="s">
        <v>2160</v>
      </c>
      <c r="C22" s="361" t="n">
        <f aca="false">-'Esports · 8-Year'!C17</f>
        <v>-194128.544</v>
      </c>
      <c r="D22" s="361" t="n">
        <f aca="false">-'Esports · 8-Year'!D17</f>
        <v>-211215.37616</v>
      </c>
      <c r="E22" s="361" t="n">
        <f aca="false">-'Esports · 8-Year'!E17</f>
        <v>-229152.70256</v>
      </c>
      <c r="F22" s="361" t="n">
        <f aca="false">-'Esports · 8-Year'!F17</f>
        <v>-236027.2836368</v>
      </c>
      <c r="G22" s="361" t="n">
        <f aca="false">-'Esports · 8-Year'!G17</f>
        <v>-243108.102145904</v>
      </c>
      <c r="H22" s="361" t="n">
        <f aca="false">-'Esports · 8-Year'!H17</f>
        <v>-256739.63447765</v>
      </c>
      <c r="I22" s="361" t="n">
        <f aca="false">-'Esports · 8-Year'!I17</f>
        <v>-264441.823511979</v>
      </c>
      <c r="J22" s="361" t="n">
        <f aca="false">-'Esports · 8-Year'!J17</f>
        <v>-272375.078217339</v>
      </c>
    </row>
    <row r="23" customFormat="false" ht="15" hidden="false" customHeight="true" outlineLevel="0" collapsed="false">
      <c r="B23" s="639" t="s">
        <v>2161</v>
      </c>
      <c r="C23" s="361" t="n">
        <f aca="false">-'Museum · 8-Year'!C17</f>
        <v>-234668.96</v>
      </c>
      <c r="D23" s="361" t="n">
        <f aca="false">-'Museum · 8-Year'!D17</f>
        <v>-249108.1574</v>
      </c>
      <c r="E23" s="361" t="n">
        <f aca="false">-'Museum · 8-Year'!E17</f>
        <v>-264202.50458</v>
      </c>
      <c r="F23" s="361" t="n">
        <f aca="false">-'Museum · 8-Year'!F17</f>
        <v>-272128.5797174</v>
      </c>
      <c r="G23" s="361" t="n">
        <f aca="false">-'Museum · 8-Year'!G17</f>
        <v>-280292.437108922</v>
      </c>
      <c r="H23" s="361" t="n">
        <f aca="false">-'Museum · 8-Year'!H17</f>
        <v>-292865.102435001</v>
      </c>
      <c r="I23" s="361" t="n">
        <f aca="false">-'Museum · 8-Year'!I17</f>
        <v>-301651.055508051</v>
      </c>
      <c r="J23" s="361" t="n">
        <f aca="false">-'Museum · 8-Year'!J17</f>
        <v>-310700.587173293</v>
      </c>
    </row>
    <row r="24" customFormat="false" ht="15" hidden="false" customHeight="true" outlineLevel="0" collapsed="false">
      <c r="B24" s="639" t="s">
        <v>2162</v>
      </c>
      <c r="C24" s="361" t="n">
        <f aca="false">-'Subleasing · 8-Year'!C17</f>
        <v>-26636</v>
      </c>
      <c r="D24" s="361" t="n">
        <f aca="false">-'Subleasing · 8-Year'!D17</f>
        <v>-28096.34</v>
      </c>
      <c r="E24" s="361" t="n">
        <f aca="false">-'Subleasing · 8-Year'!E17</f>
        <v>-29620.328</v>
      </c>
      <c r="F24" s="361" t="n">
        <f aca="false">-'Subleasing · 8-Year'!F17</f>
        <v>-30508.93784</v>
      </c>
      <c r="G24" s="361" t="n">
        <f aca="false">-'Subleasing · 8-Year'!G17</f>
        <v>-31424.2059752</v>
      </c>
      <c r="H24" s="361" t="n">
        <f aca="false">-'Subleasing · 8-Year'!H17</f>
        <v>-32739.0591323063</v>
      </c>
      <c r="I24" s="361" t="n">
        <f aca="false">-'Subleasing · 8-Year'!I17</f>
        <v>-33721.2309062755</v>
      </c>
      <c r="J24" s="361" t="n">
        <f aca="false">-'Subleasing · 8-Year'!J17</f>
        <v>-34732.8678334638</v>
      </c>
    </row>
    <row r="25" customFormat="false" ht="15" hidden="false" customHeight="true" outlineLevel="0" collapsed="false">
      <c r="B25" s="639" t="s">
        <v>2163</v>
      </c>
      <c r="C25" s="361" t="n">
        <f aca="false">-'F&amp;B · 8-Year'!C17</f>
        <v>-509910.52288</v>
      </c>
      <c r="D25" s="361" t="n">
        <f aca="false">-'F&amp;B · 8-Year'!D17</f>
        <v>-544677.14944</v>
      </c>
      <c r="E25" s="361" t="n">
        <f aca="false">-'F&amp;B · 8-Year'!E17</f>
        <v>-579443.776</v>
      </c>
      <c r="F25" s="361" t="n">
        <f aca="false">-'F&amp;B · 8-Year'!F17</f>
        <v>-579443.776</v>
      </c>
      <c r="G25" s="361" t="n">
        <f aca="false">-'F&amp;B · 8-Year'!G17</f>
        <v>-596827.08928</v>
      </c>
      <c r="H25" s="361" t="n">
        <f aca="false">-'F&amp;B · 8-Year'!H17</f>
        <v>-615079.568224</v>
      </c>
      <c r="I25" s="361" t="n">
        <f aca="false">-'F&amp;B · 8-Year'!I17</f>
        <v>-634244.6711152</v>
      </c>
      <c r="J25" s="361" t="n">
        <f aca="false">-'F&amp;B · 8-Year'!J17</f>
        <v>-654368.02915096</v>
      </c>
    </row>
    <row r="26" customFormat="false" ht="15" hidden="false" customHeight="true" outlineLevel="0" collapsed="false">
      <c r="B26" s="639" t="s">
        <v>2164</v>
      </c>
      <c r="C26" s="361" t="n">
        <f aca="false">-'Sponsorships · 8-Year'!C17</f>
        <v>-101368</v>
      </c>
      <c r="D26" s="361" t="n">
        <f aca="false">-'Sponsorships · 8-Year'!D17</f>
        <v>-106773.92</v>
      </c>
      <c r="E26" s="361" t="n">
        <f aca="false">-'Sponsorships · 8-Year'!E17</f>
        <v>-112412.964</v>
      </c>
      <c r="F26" s="361" t="n">
        <f aca="false">-'Sponsorships · 8-Year'!F17</f>
        <v>-115785.35292</v>
      </c>
      <c r="G26" s="361" t="n">
        <f aca="false">-'Sponsorships · 8-Year'!G17</f>
        <v>-119258.9135076</v>
      </c>
      <c r="H26" s="361" t="n">
        <f aca="false">-'Sponsorships · 8-Year'!H17</f>
        <v>-124167.527550124</v>
      </c>
      <c r="I26" s="361" t="n">
        <f aca="false">-'Sponsorships · 8-Year'!I17</f>
        <v>-127892.553376628</v>
      </c>
      <c r="J26" s="361" t="n">
        <f aca="false">-'Sponsorships · 8-Year'!J17</f>
        <v>-131729.329977927</v>
      </c>
    </row>
    <row r="27" customFormat="false" ht="15" hidden="false" customHeight="true" outlineLevel="0" collapsed="false">
      <c r="B27" s="639" t="s">
        <v>2165</v>
      </c>
      <c r="C27" s="361" t="n">
        <f aca="false">-'Borderless · 8-Year'!C17</f>
        <v>-77200</v>
      </c>
      <c r="D27" s="361" t="n">
        <f aca="false">-'Borderless · 8-Year'!D17</f>
        <v>-87395.5</v>
      </c>
      <c r="E27" s="361" t="n">
        <f aca="false">-'Borderless · 8-Year'!E17</f>
        <v>-98133.25</v>
      </c>
      <c r="F27" s="361" t="n">
        <f aca="false">-'Borderless · 8-Year'!F17</f>
        <v>-101077.2475</v>
      </c>
      <c r="G27" s="361" t="n">
        <f aca="false">-'Borderless · 8-Year'!G17</f>
        <v>-104109.564925</v>
      </c>
      <c r="H27" s="361" t="n">
        <f aca="false">-'Borderless · 8-Year'!H17</f>
        <v>-111667.075206948</v>
      </c>
      <c r="I27" s="361" t="n">
        <f aca="false">-'Borderless · 8-Year'!I17</f>
        <v>-115017.087463156</v>
      </c>
      <c r="J27" s="361" t="n">
        <f aca="false">-'Borderless · 8-Year'!J17</f>
        <v>-118467.600087051</v>
      </c>
    </row>
    <row r="28" customFormat="false" ht="21.75" hidden="false" customHeight="true" outlineLevel="0" collapsed="false">
      <c r="B28" s="640" t="s">
        <v>2166</v>
      </c>
      <c r="C28" s="641" t="n">
        <f aca="false">SUM(C19:C27)</f>
        <v>-2419793.24814675</v>
      </c>
      <c r="D28" s="641" t="n">
        <f aca="false">SUM(D19:D27)</f>
        <v>-2583177.2552345</v>
      </c>
      <c r="E28" s="641" t="n">
        <f aca="false">SUM(E19:E27)</f>
        <v>-2751119.61086118</v>
      </c>
      <c r="F28" s="641" t="n">
        <f aca="false">SUM(F19:F27)</f>
        <v>-2804332.04590701</v>
      </c>
      <c r="G28" s="641" t="n">
        <f aca="false">SUM(G19:G27)</f>
        <v>-2901143.66387592</v>
      </c>
      <c r="H28" s="641" t="n">
        <f aca="false">SUM(H19:H27)</f>
        <v>-3021962.45156915</v>
      </c>
      <c r="I28" s="641" t="n">
        <f aca="false">SUM(I19:I27)</f>
        <v>-3120813.62263036</v>
      </c>
      <c r="J28" s="641" t="n">
        <f aca="false">SUM(J19:J27)</f>
        <v>-3219059.75973157</v>
      </c>
    </row>
    <row r="29" customFormat="false" ht="15" hidden="false" customHeight="true" outlineLevel="0" collapsed="false">
      <c r="B29" s="6"/>
    </row>
    <row r="30" customFormat="false" ht="33.75" hidden="false" customHeight="true" outlineLevel="0" collapsed="false">
      <c r="B30" s="642" t="s">
        <v>2167</v>
      </c>
      <c r="C30" s="444" t="n">
        <f aca="false">C16+C28</f>
        <v>2917824.47185325</v>
      </c>
      <c r="D30" s="444" t="n">
        <f aca="false">D16+D28</f>
        <v>3421642.6797655</v>
      </c>
      <c r="E30" s="444" t="n">
        <f aca="false">E16+E28</f>
        <v>3920902.53913882</v>
      </c>
      <c r="F30" s="444" t="n">
        <f aca="false">F16+F28</f>
        <v>3867690.10409299</v>
      </c>
      <c r="G30" s="444" t="n">
        <f aca="false">G16+G28</f>
        <v>4104479.59362408</v>
      </c>
      <c r="H30" s="444" t="n">
        <f aca="false">H16+H28</f>
        <v>4193829.50365585</v>
      </c>
      <c r="I30" s="444" t="n">
        <f aca="false">I16+I28</f>
        <v>4311452.09125139</v>
      </c>
      <c r="J30" s="444" t="n">
        <f aca="false">J16+J28</f>
        <v>4436173.92556663</v>
      </c>
    </row>
    <row r="31" customFormat="false" ht="15" hidden="false" customHeight="true" outlineLevel="0" collapsed="false">
      <c r="B31" s="6"/>
    </row>
    <row r="32" customFormat="false" ht="19.5" hidden="false" customHeight="true" outlineLevel="0" collapsed="false">
      <c r="B32" s="638" t="s">
        <v>2168</v>
      </c>
      <c r="C32" s="638"/>
      <c r="D32" s="638"/>
      <c r="E32" s="638"/>
      <c r="F32" s="638"/>
      <c r="G32" s="638"/>
      <c r="H32" s="638"/>
      <c r="I32" s="638"/>
      <c r="J32" s="638"/>
    </row>
    <row r="33" customFormat="false" ht="33.75" hidden="false" customHeight="true" outlineLevel="0" collapsed="false">
      <c r="B33" s="126" t="s">
        <v>2169</v>
      </c>
      <c r="C33" s="361" t="n">
        <f aca="false">-'Master Cost'!$C$55*UNIVERSAL_DRIVERS!$C$19</f>
        <v>-1409240.5316</v>
      </c>
      <c r="D33" s="361" t="n">
        <f aca="false">-'Master Cost'!$C$55*UNIVERSAL_DRIVERS!$C$20</f>
        <v>-1585395.59805</v>
      </c>
      <c r="E33" s="361" t="n">
        <f aca="false">-'Master Cost'!C55*1</f>
        <v>-1761550.6645</v>
      </c>
      <c r="F33" s="361" t="n">
        <f aca="false">-'Master Cost'!C55*1</f>
        <v>-1761550.6645</v>
      </c>
      <c r="G33" s="361" t="n">
        <f aca="false">-'Master Cost'!C55*1</f>
        <v>-1761550.6645</v>
      </c>
      <c r="H33" s="361" t="n">
        <f aca="false">-'Master Cost'!C55*(1+UNIVERSAL_DRIVERS!$C$8)</f>
        <v>-1814397.184435</v>
      </c>
      <c r="I33" s="361" t="n">
        <f aca="false">-'Master Cost'!C55*(1+UNIVERSAL_DRIVERS!$C$8)^2</f>
        <v>-1868829.09996805</v>
      </c>
      <c r="J33" s="361" t="n">
        <f aca="false">-'Master Cost'!C55*(1+UNIVERSAL_DRIVERS!$C$8)^3</f>
        <v>-1924893.97296709</v>
      </c>
    </row>
    <row r="34" customFormat="false" ht="15" hidden="false" customHeight="true" outlineLevel="0" collapsed="false">
      <c r="B34" s="6"/>
    </row>
    <row r="35" customFormat="false" ht="25.5" hidden="false" customHeight="true" outlineLevel="0" collapsed="false">
      <c r="B35" s="643" t="s">
        <v>2170</v>
      </c>
      <c r="C35" s="644" t="n">
        <f aca="false">C30+C33</f>
        <v>1508583.94025325</v>
      </c>
      <c r="D35" s="644" t="n">
        <f aca="false">D30+D33</f>
        <v>1836247.0817155</v>
      </c>
      <c r="E35" s="644" t="n">
        <f aca="false">E30+E33</f>
        <v>2159351.87463882</v>
      </c>
      <c r="F35" s="644" t="n">
        <f aca="false">F30+F33</f>
        <v>2106139.43959299</v>
      </c>
      <c r="G35" s="644" t="n">
        <f aca="false">G30+G33</f>
        <v>2342928.92912408</v>
      </c>
      <c r="H35" s="644" t="n">
        <f aca="false">H30+H33</f>
        <v>2379432.31922085</v>
      </c>
      <c r="I35" s="644" t="n">
        <f aca="false">I30+I33</f>
        <v>2442622.99128334</v>
      </c>
      <c r="J35" s="644" t="n">
        <f aca="false">J30+J33</f>
        <v>2511279.95259954</v>
      </c>
    </row>
    <row r="36" customFormat="false" ht="15" hidden="false" customHeight="true" outlineLevel="0" collapsed="false">
      <c r="B36" s="104" t="s">
        <v>2171</v>
      </c>
      <c r="C36" s="635" t="n">
        <f aca="false">C35/C16</f>
        <v>0.282632443796153</v>
      </c>
      <c r="D36" s="635" t="n">
        <f aca="false">D35/D16</f>
        <v>0.305795527857989</v>
      </c>
      <c r="E36" s="635" t="n">
        <f aca="false">E35/E16</f>
        <v>0.323642791659321</v>
      </c>
      <c r="F36" s="635" t="n">
        <f aca="false">F35/F16</f>
        <v>0.315667333267619</v>
      </c>
      <c r="G36" s="635" t="n">
        <f aca="false">G35/G16</f>
        <v>0.334435473191599</v>
      </c>
      <c r="H36" s="635" t="n">
        <f aca="false">H35/H16</f>
        <v>0.329753453811524</v>
      </c>
      <c r="I36" s="635" t="n">
        <f aca="false">I35/I16</f>
        <v>0.328651192693648</v>
      </c>
      <c r="J36" s="635" t="n">
        <f aca="false">J35/J16</f>
        <v>0.328047458227491</v>
      </c>
    </row>
    <row r="37" customFormat="false" ht="15" hidden="false" customHeight="true" outlineLevel="0" collapsed="false">
      <c r="B37" s="6"/>
    </row>
    <row r="38" customFormat="false" ht="33.75" hidden="false" customHeight="true" outlineLevel="0" collapsed="false">
      <c r="B38" s="638" t="s">
        <v>2172</v>
      </c>
      <c r="C38" s="638"/>
      <c r="D38" s="638"/>
      <c r="E38" s="638"/>
      <c r="F38" s="638"/>
      <c r="G38" s="638"/>
      <c r="H38" s="638"/>
      <c r="I38" s="638"/>
      <c r="J38" s="638"/>
    </row>
    <row r="39" customFormat="false" ht="15" hidden="false" customHeight="true" outlineLevel="0" collapsed="false">
      <c r="B39" s="113" t="s">
        <v>2173</v>
      </c>
      <c r="C39" s="361" t="n">
        <f aca="false">-Schedules!C9</f>
        <v>-1965904.76190476</v>
      </c>
      <c r="D39" s="361" t="n">
        <f aca="false">-Schedules!D9</f>
        <v>-1965904.76190476</v>
      </c>
      <c r="E39" s="361" t="n">
        <f aca="false">-Schedules!E9</f>
        <v>-1965904.76190476</v>
      </c>
      <c r="F39" s="361" t="n">
        <f aca="false">-Schedules!F9</f>
        <v>-1965904.76190476</v>
      </c>
      <c r="G39" s="361" t="n">
        <f aca="false">-Schedules!G9</f>
        <v>-1965904.76190476</v>
      </c>
      <c r="H39" s="361" t="n">
        <f aca="false">-Schedules!H9</f>
        <v>-1965904.76190476</v>
      </c>
      <c r="I39" s="361" t="n">
        <f aca="false">-Schedules!I9</f>
        <v>-1965904.76190476</v>
      </c>
      <c r="J39" s="361" t="n">
        <f aca="false">-Schedules!J9</f>
        <v>-1337333.33333333</v>
      </c>
    </row>
    <row r="40" customFormat="false" ht="15" hidden="false" customHeight="true" outlineLevel="0" collapsed="false">
      <c r="B40" s="6"/>
    </row>
    <row r="41" customFormat="false" ht="15" hidden="false" customHeight="true" outlineLevel="0" collapsed="false">
      <c r="B41" s="645" t="s">
        <v>2174</v>
      </c>
      <c r="C41" s="444" t="n">
        <f aca="false">C35+C39</f>
        <v>-457320.821651512</v>
      </c>
      <c r="D41" s="444" t="n">
        <f aca="false">D35+D39</f>
        <v>-129657.680189263</v>
      </c>
      <c r="E41" s="444" t="n">
        <f aca="false">E35+E39</f>
        <v>193447.112734061</v>
      </c>
      <c r="F41" s="444" t="n">
        <f aca="false">F35+F39</f>
        <v>140234.677688226</v>
      </c>
      <c r="G41" s="444" t="n">
        <f aca="false">G35+G39</f>
        <v>377024.16721932</v>
      </c>
      <c r="H41" s="444" t="n">
        <f aca="false">H35+H39</f>
        <v>413527.557316088</v>
      </c>
      <c r="I41" s="444" t="n">
        <f aca="false">I35+I39</f>
        <v>476718.229378582</v>
      </c>
      <c r="J41" s="444" t="n">
        <f aca="false">J35+J39</f>
        <v>1173946.61926621</v>
      </c>
    </row>
    <row r="42" customFormat="false" ht="15" hidden="false" customHeight="true" outlineLevel="0" collapsed="false">
      <c r="B42" s="6"/>
    </row>
    <row r="43" customFormat="false" ht="33.75" hidden="false" customHeight="true" outlineLevel="0" collapsed="false">
      <c r="B43" s="126" t="s">
        <v>2175</v>
      </c>
      <c r="C43" s="361" t="n">
        <f aca="false">-(Schedules!C13+Schedules!C28)</f>
        <v>-285116</v>
      </c>
      <c r="D43" s="361" t="n">
        <f aca="false">-(Schedules!D13+Schedules!D28)</f>
        <v>-241700.8</v>
      </c>
      <c r="E43" s="361" t="n">
        <f aca="false">-(Schedules!E13+Schedules!E28)</f>
        <v>-198285.6</v>
      </c>
      <c r="F43" s="361" t="n">
        <f aca="false">-(Schedules!F13+Schedules!F28)</f>
        <v>-154870.4</v>
      </c>
      <c r="G43" s="361" t="n">
        <f aca="false">-(Schedules!G13+Schedules!G28)</f>
        <v>-111455.2</v>
      </c>
      <c r="H43" s="361" t="n">
        <f aca="false">-(Schedules!H13+Schedules!H28)</f>
        <v>-68040</v>
      </c>
      <c r="I43" s="361" t="n">
        <f aca="false">-(Schedules!I13+Schedules!I28)</f>
        <v>-34020</v>
      </c>
      <c r="J43" s="361" t="n">
        <f aca="false">-(Schedules!J13+Schedules!J28)</f>
        <v>-0</v>
      </c>
    </row>
    <row r="44" customFormat="false" ht="15" hidden="false" customHeight="true" outlineLevel="0" collapsed="false">
      <c r="B44" s="6"/>
    </row>
    <row r="45" customFormat="false" ht="15" hidden="false" customHeight="true" outlineLevel="0" collapsed="false">
      <c r="B45" s="126" t="s">
        <v>2148</v>
      </c>
      <c r="C45" s="357" t="n">
        <f aca="false">C41+C43</f>
        <v>-742436.821651512</v>
      </c>
      <c r="D45" s="357" t="n">
        <f aca="false">D41+D43</f>
        <v>-371358.480189263</v>
      </c>
      <c r="E45" s="357" t="n">
        <f aca="false">E41+E43</f>
        <v>-4838.4872659386</v>
      </c>
      <c r="F45" s="357" t="n">
        <f aca="false">F41+F43</f>
        <v>-14635.7223117741</v>
      </c>
      <c r="G45" s="357" t="n">
        <f aca="false">G41+G43</f>
        <v>265568.96721932</v>
      </c>
      <c r="H45" s="357" t="n">
        <f aca="false">H41+H43</f>
        <v>345487.557316088</v>
      </c>
      <c r="I45" s="357" t="n">
        <f aca="false">I41+I43</f>
        <v>442698.229378582</v>
      </c>
      <c r="J45" s="357" t="n">
        <f aca="false">J41+J43</f>
        <v>1173946.61926621</v>
      </c>
    </row>
    <row r="46" customFormat="false" ht="15" hidden="false" customHeight="true" outlineLevel="0" collapsed="false">
      <c r="B46" s="126" t="s">
        <v>2176</v>
      </c>
      <c r="C46" s="361" t="n">
        <f aca="false">-MAX(0,C45)*UNIVERSAL_DRIVERS!$C$11*IF(COLUMN()-2&lt;=UNIVERSAL_DRIVERS!$C$63,0,1)</f>
        <v>-0</v>
      </c>
      <c r="D46" s="361" t="n">
        <f aca="false">-MAX(0,D45)*UNIVERSAL_DRIVERS!$C$11*IF(COLUMN()-2&lt;=UNIVERSAL_DRIVERS!$C$63,0,1)</f>
        <v>-0</v>
      </c>
      <c r="E46" s="361" t="n">
        <f aca="false">-MAX(0,E45)*UNIVERSAL_DRIVERS!$C$11*IF(COLUMN()-2&lt;=UNIVERSAL_DRIVERS!$C$63,0,1)</f>
        <v>-0</v>
      </c>
      <c r="F46" s="361" t="n">
        <f aca="false">-MAX(0,F45)*UNIVERSAL_DRIVERS!$C$11*IF(COLUMN()-2&lt;=UNIVERSAL_DRIVERS!$C$63,0,1)</f>
        <v>-0</v>
      </c>
      <c r="G46" s="361" t="n">
        <f aca="false">-MAX(0,G45)*UNIVERSAL_DRIVERS!$C$11*IF(COLUMN()-2&lt;=UNIVERSAL_DRIVERS!$C$63,0,1)</f>
        <v>-0</v>
      </c>
      <c r="H46" s="361" t="n">
        <f aca="false">-MAX(0,H45)*UNIVERSAL_DRIVERS!$C$11*IF(COLUMN()-2&lt;=UNIVERSAL_DRIVERS!$C$63,0,1)</f>
        <v>-53550.5713839937</v>
      </c>
      <c r="I46" s="361" t="n">
        <f aca="false">-MAX(0,I45)*UNIVERSAL_DRIVERS!$C$11*IF(COLUMN()-2&lt;=UNIVERSAL_DRIVERS!$C$63,0,1)</f>
        <v>-68618.2255536802</v>
      </c>
      <c r="J46" s="361" t="n">
        <f aca="false">-MAX(0,J45)*UNIVERSAL_DRIVERS!$C$11*IF(COLUMN()-2&lt;=UNIVERSAL_DRIVERS!$C$63,0,1)</f>
        <v>-181961.725986262</v>
      </c>
    </row>
    <row r="47" customFormat="false" ht="15" hidden="false" customHeight="true" outlineLevel="0" collapsed="false">
      <c r="B47" s="6"/>
    </row>
    <row r="48" customFormat="false" ht="31.5" hidden="false" customHeight="true" outlineLevel="0" collapsed="false">
      <c r="B48" s="646" t="s">
        <v>2151</v>
      </c>
      <c r="C48" s="647" t="n">
        <f aca="false">C45+C46</f>
        <v>-742436.821651512</v>
      </c>
      <c r="D48" s="647" t="n">
        <f aca="false">D45+D46</f>
        <v>-371358.480189263</v>
      </c>
      <c r="E48" s="647" t="n">
        <f aca="false">E45+E46</f>
        <v>-4838.4872659386</v>
      </c>
      <c r="F48" s="647" t="n">
        <f aca="false">F45+F46</f>
        <v>-14635.7223117741</v>
      </c>
      <c r="G48" s="647" t="n">
        <f aca="false">G45+G46</f>
        <v>265568.96721932</v>
      </c>
      <c r="H48" s="647" t="n">
        <f aca="false">H45+H46</f>
        <v>291936.985932095</v>
      </c>
      <c r="I48" s="647" t="n">
        <f aca="false">I45+I46</f>
        <v>374080.003824902</v>
      </c>
      <c r="J48" s="647" t="n">
        <f aca="false">J45+J46</f>
        <v>991984.893279945</v>
      </c>
    </row>
  </sheetData>
  <mergeCells count="6">
    <mergeCell ref="B2:J2"/>
    <mergeCell ref="B3:J3"/>
    <mergeCell ref="B6:J6"/>
    <mergeCell ref="B18:J18"/>
    <mergeCell ref="B32:J32"/>
    <mergeCell ref="B38:J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K27"/>
  <sheetViews>
    <sheetView showFormulas="false" showGridLines="false" showRowColHeaders="true" showZeros="true" rightToLeft="false" tabSelected="false" showOutlineSymbols="true" defaultGridColor="true" view="normal" topLeftCell="A1" colorId="64" zoomScale="125" zoomScaleNormal="125"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M22" activeCellId="0" sqref="M22"/>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48.51"/>
    <col collapsed="false" customWidth="true" hidden="false" outlineLevel="0" max="11" min="3" style="0" width="14"/>
  </cols>
  <sheetData>
    <row r="1" customFormat="false" ht="15" hidden="false" customHeight="true" outlineLevel="0" collapsed="false">
      <c r="B1" s="6"/>
    </row>
    <row r="2" customFormat="false" ht="33.75" hidden="false" customHeight="true" outlineLevel="0" collapsed="false">
      <c r="B2" s="88" t="s">
        <v>2177</v>
      </c>
      <c r="C2" s="88"/>
      <c r="D2" s="88"/>
      <c r="E2" s="88"/>
      <c r="F2" s="88"/>
      <c r="G2" s="88"/>
      <c r="H2" s="88"/>
      <c r="I2" s="88"/>
      <c r="J2" s="88"/>
      <c r="K2" s="88"/>
    </row>
    <row r="3" customFormat="false" ht="48.75" hidden="false" customHeight="true" outlineLevel="0" collapsed="false">
      <c r="B3" s="90" t="s">
        <v>2178</v>
      </c>
      <c r="C3" s="90"/>
      <c r="D3" s="90"/>
      <c r="E3" s="90"/>
      <c r="F3" s="90"/>
      <c r="G3" s="90"/>
      <c r="H3" s="90"/>
      <c r="I3" s="90"/>
      <c r="J3" s="90"/>
      <c r="K3" s="90"/>
    </row>
    <row r="4" customFormat="false" ht="15" hidden="false" customHeight="true" outlineLevel="0" collapsed="false">
      <c r="B4" s="6"/>
    </row>
    <row r="5" customFormat="false" ht="21.75" hidden="false" customHeight="true" outlineLevel="0" collapsed="false">
      <c r="B5" s="439" t="s">
        <v>2179</v>
      </c>
      <c r="C5" s="637" t="s">
        <v>756</v>
      </c>
      <c r="D5" s="637" t="s">
        <v>760</v>
      </c>
      <c r="E5" s="637" t="s">
        <v>908</v>
      </c>
      <c r="F5" s="637" t="s">
        <v>765</v>
      </c>
      <c r="G5" s="637" t="s">
        <v>770</v>
      </c>
      <c r="H5" s="637" t="s">
        <v>909</v>
      </c>
      <c r="I5" s="637" t="s">
        <v>910</v>
      </c>
      <c r="J5" s="637" t="s">
        <v>911</v>
      </c>
      <c r="K5" s="637" t="s">
        <v>912</v>
      </c>
    </row>
    <row r="6" customFormat="false" ht="19.5" hidden="false" customHeight="true" outlineLevel="0" collapsed="false">
      <c r="B6" s="332" t="s">
        <v>2180</v>
      </c>
      <c r="C6" s="332"/>
      <c r="D6" s="332"/>
      <c r="E6" s="332"/>
      <c r="F6" s="332"/>
      <c r="G6" s="332"/>
      <c r="H6" s="332"/>
      <c r="I6" s="332"/>
      <c r="J6" s="332"/>
      <c r="K6" s="332"/>
    </row>
    <row r="7" customFormat="false" ht="15" hidden="false" customHeight="true" outlineLevel="0" collapsed="false">
      <c r="B7" s="113" t="s">
        <v>2181</v>
      </c>
      <c r="C7" s="357" t="n">
        <v>0</v>
      </c>
      <c r="D7" s="357" t="n">
        <f aca="false">'Consolidated 8Yr P&amp;L'!C48</f>
        <v>-742436.821651512</v>
      </c>
      <c r="E7" s="357" t="n">
        <f aca="false">'Consolidated 8Yr P&amp;L'!D48</f>
        <v>-371358.480189263</v>
      </c>
      <c r="F7" s="357" t="n">
        <f aca="false">'Consolidated 8Yr P&amp;L'!E48</f>
        <v>-4838.4872659386</v>
      </c>
      <c r="G7" s="357" t="n">
        <f aca="false">'Consolidated 8Yr P&amp;L'!F48</f>
        <v>-14635.7223117741</v>
      </c>
      <c r="H7" s="357" t="n">
        <f aca="false">'Consolidated 8Yr P&amp;L'!G48</f>
        <v>265568.96721932</v>
      </c>
      <c r="I7" s="357" t="n">
        <f aca="false">'Consolidated 8Yr P&amp;L'!H48</f>
        <v>291936.985932095</v>
      </c>
      <c r="J7" s="357" t="n">
        <f aca="false">'Consolidated 8Yr P&amp;L'!I48</f>
        <v>374080.003824902</v>
      </c>
      <c r="K7" s="357" t="n">
        <f aca="false">'Consolidated 8Yr P&amp;L'!J48</f>
        <v>991984.893279945</v>
      </c>
    </row>
    <row r="8" customFormat="false" ht="15" hidden="false" customHeight="true" outlineLevel="0" collapsed="false">
      <c r="B8" s="126" t="s">
        <v>2182</v>
      </c>
      <c r="C8" s="648" t="n">
        <v>0</v>
      </c>
      <c r="D8" s="648" t="n">
        <f aca="false">Schedules!C9</f>
        <v>1965904.76190476</v>
      </c>
      <c r="E8" s="648" t="n">
        <f aca="false">Schedules!D9</f>
        <v>1965904.76190476</v>
      </c>
      <c r="F8" s="648" t="n">
        <f aca="false">Schedules!E9</f>
        <v>1965904.76190476</v>
      </c>
      <c r="G8" s="648" t="n">
        <f aca="false">Schedules!F9</f>
        <v>1965904.76190476</v>
      </c>
      <c r="H8" s="648" t="n">
        <f aca="false">Schedules!G9</f>
        <v>1965904.76190476</v>
      </c>
      <c r="I8" s="648" t="n">
        <f aca="false">Schedules!H9</f>
        <v>1965904.76190476</v>
      </c>
      <c r="J8" s="648" t="n">
        <f aca="false">Schedules!I9</f>
        <v>1965904.76190476</v>
      </c>
      <c r="K8" s="648" t="n">
        <f aca="false">Schedules!J9</f>
        <v>1337333.33333333</v>
      </c>
    </row>
    <row r="9" customFormat="false" ht="33.75" hidden="false" customHeight="true" outlineLevel="0" collapsed="false">
      <c r="B9" s="104" t="s">
        <v>2183</v>
      </c>
      <c r="C9" s="401" t="n">
        <v>0</v>
      </c>
      <c r="D9" s="401" t="n">
        <v>0</v>
      </c>
      <c r="E9" s="401" t="n">
        <v>0</v>
      </c>
      <c r="F9" s="401" t="n">
        <v>0</v>
      </c>
      <c r="G9" s="401" t="n">
        <v>0</v>
      </c>
      <c r="H9" s="401" t="n">
        <v>0</v>
      </c>
      <c r="I9" s="401" t="n">
        <v>0</v>
      </c>
      <c r="J9" s="401" t="n">
        <v>0</v>
      </c>
      <c r="K9" s="401" t="n">
        <v>0</v>
      </c>
    </row>
    <row r="10" customFormat="false" ht="21.75" hidden="false" customHeight="true" outlineLevel="0" collapsed="false">
      <c r="B10" s="645" t="s">
        <v>2184</v>
      </c>
      <c r="C10" s="444" t="n">
        <f aca="false">C7+C8+C9</f>
        <v>0</v>
      </c>
      <c r="D10" s="444" t="n">
        <f aca="false">D7+D8+D9</f>
        <v>1223467.94025325</v>
      </c>
      <c r="E10" s="444" t="n">
        <f aca="false">E7+E8+E9</f>
        <v>1594546.2817155</v>
      </c>
      <c r="F10" s="444" t="n">
        <f aca="false">F7+F8+F9</f>
        <v>1961066.27463882</v>
      </c>
      <c r="G10" s="444" t="n">
        <f aca="false">G7+G8+G9</f>
        <v>1951269.03959299</v>
      </c>
      <c r="H10" s="444" t="n">
        <f aca="false">H7+H8+H9</f>
        <v>2231473.72912408</v>
      </c>
      <c r="I10" s="444" t="n">
        <f aca="false">I7+I8+I9</f>
        <v>2257841.74783686</v>
      </c>
      <c r="J10" s="444" t="n">
        <f aca="false">J7+J8+J9</f>
        <v>2339984.76572966</v>
      </c>
      <c r="K10" s="444" t="n">
        <f aca="false">K7+K8+K9</f>
        <v>2329318.22661328</v>
      </c>
    </row>
    <row r="11" customFormat="false" ht="15" hidden="false" customHeight="true" outlineLevel="0" collapsed="false">
      <c r="B11" s="6"/>
    </row>
    <row r="12" customFormat="false" ht="19.5" hidden="false" customHeight="true" outlineLevel="0" collapsed="false">
      <c r="B12" s="332" t="s">
        <v>2185</v>
      </c>
      <c r="C12" s="332"/>
      <c r="D12" s="332"/>
      <c r="E12" s="332"/>
      <c r="F12" s="332"/>
      <c r="G12" s="332"/>
      <c r="H12" s="332"/>
      <c r="I12" s="332"/>
      <c r="J12" s="332"/>
      <c r="K12" s="332"/>
    </row>
    <row r="13" customFormat="false" ht="15" hidden="false" customHeight="true" outlineLevel="0" collapsed="false">
      <c r="B13" s="126" t="s">
        <v>2186</v>
      </c>
      <c r="C13" s="361" t="n">
        <f aca="false">-CapEx!E55</f>
        <v>-19090000</v>
      </c>
      <c r="D13" s="361" t="n">
        <v>0</v>
      </c>
      <c r="E13" s="361" t="n">
        <v>0</v>
      </c>
      <c r="F13" s="361" t="n">
        <v>0</v>
      </c>
      <c r="G13" s="361" t="n">
        <v>0</v>
      </c>
      <c r="H13" s="361" t="n">
        <v>0</v>
      </c>
      <c r="I13" s="361" t="n">
        <v>0</v>
      </c>
      <c r="J13" s="361" t="n">
        <v>0</v>
      </c>
      <c r="K13" s="361" t="n">
        <v>0</v>
      </c>
    </row>
    <row r="14" customFormat="false" ht="15" hidden="false" customHeight="true" outlineLevel="0" collapsed="false">
      <c r="B14" s="126" t="s">
        <v>2187</v>
      </c>
      <c r="C14" s="361" t="n">
        <v>0</v>
      </c>
      <c r="D14" s="361" t="n">
        <f aca="false">-'Consolidated 8Yr P&amp;L'!C16*UNIVERSAL_DRIVERS!$C$24</f>
        <v>-106752.3544</v>
      </c>
      <c r="E14" s="361" t="n">
        <f aca="false">-'Consolidated 8Yr P&amp;L'!D16*UNIVERSAL_DRIVERS!$C$24</f>
        <v>-120096.3987</v>
      </c>
      <c r="F14" s="361" t="n">
        <f aca="false">-'Consolidated 8Yr P&amp;L'!E16*UNIVERSAL_DRIVERS!$C$24</f>
        <v>-133440.443</v>
      </c>
      <c r="G14" s="361" t="n">
        <f aca="false">-'Consolidated 8Yr P&amp;L'!F16*UNIVERSAL_DRIVERS!$C$24</f>
        <v>-133440.443</v>
      </c>
      <c r="H14" s="361" t="n">
        <f aca="false">-'Consolidated 8Yr P&amp;L'!G16*UNIVERSAL_DRIVERS!$C$24</f>
        <v>-140112.46515</v>
      </c>
      <c r="I14" s="361" t="n">
        <f aca="false">-'Consolidated 8Yr P&amp;L'!H16*UNIVERSAL_DRIVERS!$C$24</f>
        <v>-144315.8391045</v>
      </c>
      <c r="J14" s="361" t="n">
        <f aca="false">-'Consolidated 8Yr P&amp;L'!I16*UNIVERSAL_DRIVERS!$C$24</f>
        <v>-148645.314277635</v>
      </c>
      <c r="K14" s="361" t="n">
        <f aca="false">-'Consolidated 8Yr P&amp;L'!J16*UNIVERSAL_DRIVERS!$C$24</f>
        <v>-153104.673705964</v>
      </c>
    </row>
    <row r="15" customFormat="false" ht="21.75" hidden="false" customHeight="true" outlineLevel="0" collapsed="false">
      <c r="B15" s="645" t="s">
        <v>2188</v>
      </c>
      <c r="C15" s="444" t="n">
        <f aca="false">C13+C14</f>
        <v>-19090000</v>
      </c>
      <c r="D15" s="444" t="n">
        <f aca="false">D13+D14</f>
        <v>-106752.3544</v>
      </c>
      <c r="E15" s="444" t="n">
        <f aca="false">E13+E14</f>
        <v>-120096.3987</v>
      </c>
      <c r="F15" s="444" t="n">
        <f aca="false">F13+F14</f>
        <v>-133440.443</v>
      </c>
      <c r="G15" s="444" t="n">
        <f aca="false">G13+G14</f>
        <v>-133440.443</v>
      </c>
      <c r="H15" s="444" t="n">
        <f aca="false">H13+H14</f>
        <v>-140112.46515</v>
      </c>
      <c r="I15" s="444" t="n">
        <f aca="false">I13+I14</f>
        <v>-144315.8391045</v>
      </c>
      <c r="J15" s="444" t="n">
        <f aca="false">J13+J14</f>
        <v>-148645.314277635</v>
      </c>
      <c r="K15" s="444" t="n">
        <f aca="false">K13+K14</f>
        <v>-153104.673705964</v>
      </c>
    </row>
    <row r="16" customFormat="false" ht="15" hidden="false" customHeight="true" outlineLevel="0" collapsed="false">
      <c r="B16" s="6"/>
    </row>
    <row r="17" customFormat="false" ht="19.5" hidden="false" customHeight="true" outlineLevel="0" collapsed="false">
      <c r="B17" s="332" t="s">
        <v>2189</v>
      </c>
      <c r="C17" s="332"/>
      <c r="D17" s="332"/>
      <c r="E17" s="332"/>
      <c r="F17" s="332"/>
      <c r="G17" s="332"/>
      <c r="H17" s="332"/>
      <c r="I17" s="332"/>
      <c r="J17" s="332"/>
      <c r="K17" s="332"/>
    </row>
    <row r="18" customFormat="false" ht="15" hidden="false" customHeight="true" outlineLevel="0" collapsed="false">
      <c r="B18" s="126" t="s">
        <v>2190</v>
      </c>
      <c r="C18" s="648" t="n">
        <f aca="false">CapEx!D70</f>
        <v>7820000</v>
      </c>
      <c r="D18" s="648" t="n">
        <v>0</v>
      </c>
      <c r="E18" s="648" t="n">
        <v>0</v>
      </c>
      <c r="F18" s="648" t="n">
        <v>0</v>
      </c>
      <c r="G18" s="648" t="n">
        <v>0</v>
      </c>
      <c r="H18" s="648" t="n">
        <v>0</v>
      </c>
      <c r="I18" s="648" t="n">
        <v>0</v>
      </c>
      <c r="J18" s="648" t="n">
        <v>0</v>
      </c>
      <c r="K18" s="648" t="n">
        <v>0</v>
      </c>
    </row>
    <row r="19" customFormat="false" ht="33.75" hidden="false" customHeight="true" outlineLevel="0" collapsed="false">
      <c r="B19" s="126" t="s">
        <v>2191</v>
      </c>
      <c r="C19" s="648" t="n">
        <f aca="false">-(CapEx!D61+CapEx!D62+CapEx!D63+CapEx!D66+CapEx!D67)</f>
        <v>5780800</v>
      </c>
      <c r="D19" s="648" t="n">
        <v>0</v>
      </c>
      <c r="E19" s="648" t="n">
        <v>0</v>
      </c>
      <c r="F19" s="648" t="n">
        <v>0</v>
      </c>
      <c r="G19" s="648" t="n">
        <v>0</v>
      </c>
      <c r="H19" s="648" t="n">
        <v>0</v>
      </c>
      <c r="I19" s="648" t="n">
        <v>0</v>
      </c>
      <c r="J19" s="648" t="n">
        <v>0</v>
      </c>
      <c r="K19" s="648" t="n">
        <v>0</v>
      </c>
    </row>
    <row r="20" customFormat="false" ht="15" hidden="false" customHeight="true" outlineLevel="0" collapsed="false">
      <c r="B20" s="126" t="s">
        <v>2192</v>
      </c>
      <c r="C20" s="648" t="n">
        <v>0</v>
      </c>
      <c r="D20" s="648" t="n">
        <v>0</v>
      </c>
      <c r="E20" s="648" t="n">
        <v>0</v>
      </c>
      <c r="F20" s="648" t="n">
        <v>0</v>
      </c>
      <c r="G20" s="648" t="n">
        <v>0</v>
      </c>
      <c r="H20" s="648" t="n">
        <v>0</v>
      </c>
      <c r="I20" s="648" t="n">
        <v>0</v>
      </c>
      <c r="J20" s="648" t="n">
        <v>0</v>
      </c>
      <c r="K20" s="648" t="n">
        <v>0</v>
      </c>
    </row>
    <row r="21" customFormat="false" ht="33.75" hidden="false" customHeight="true" outlineLevel="0" collapsed="false">
      <c r="B21" s="126" t="s">
        <v>2193</v>
      </c>
      <c r="C21" s="648" t="n">
        <f aca="false">-(CapEx!D64+CapEx!D65+CapEx!D68)</f>
        <v>5489200</v>
      </c>
      <c r="D21" s="648" t="n">
        <v>0</v>
      </c>
      <c r="E21" s="648" t="n">
        <v>0</v>
      </c>
      <c r="F21" s="648" t="n">
        <v>0</v>
      </c>
      <c r="G21" s="648" t="n">
        <v>0</v>
      </c>
      <c r="H21" s="648" t="n">
        <v>0</v>
      </c>
      <c r="I21" s="648" t="n">
        <v>0</v>
      </c>
      <c r="J21" s="648" t="n">
        <v>0</v>
      </c>
      <c r="K21" s="648" t="n">
        <v>0</v>
      </c>
    </row>
    <row r="22" customFormat="false" ht="15" hidden="false" customHeight="true" outlineLevel="0" collapsed="false">
      <c r="B22" s="126" t="s">
        <v>2194</v>
      </c>
      <c r="C22" s="361" t="n">
        <v>0</v>
      </c>
      <c r="D22" s="361" t="n">
        <f aca="false">-Schedules!C24</f>
        <v>-1103440</v>
      </c>
      <c r="E22" s="361" t="n">
        <f aca="false">-Schedules!D24</f>
        <v>-1103440</v>
      </c>
      <c r="F22" s="361" t="n">
        <f aca="false">-Schedules!E24</f>
        <v>-1103440</v>
      </c>
      <c r="G22" s="361" t="n">
        <f aca="false">-Schedules!F24</f>
        <v>-603440</v>
      </c>
      <c r="H22" s="361" t="n">
        <f aca="false">-Schedules!G24</f>
        <v>-603440</v>
      </c>
      <c r="I22" s="361" t="n">
        <f aca="false">-Schedules!H24</f>
        <v>-486000</v>
      </c>
      <c r="J22" s="361" t="n">
        <f aca="false">-Schedules!I24</f>
        <v>-486000</v>
      </c>
      <c r="K22" s="361" t="n">
        <f aca="false">-Schedules!J24</f>
        <v>-0</v>
      </c>
    </row>
    <row r="23" customFormat="false" ht="21.75" hidden="false" customHeight="true" outlineLevel="0" collapsed="false">
      <c r="B23" s="645" t="s">
        <v>2195</v>
      </c>
      <c r="C23" s="444" t="n">
        <f aca="false">C18+C19+C20+C21+C22</f>
        <v>19090000</v>
      </c>
      <c r="D23" s="444" t="n">
        <f aca="false">D18+D19+D20+D21+D22</f>
        <v>-1103440</v>
      </c>
      <c r="E23" s="444" t="n">
        <f aca="false">E18+E19+E20+E21+E22</f>
        <v>-1103440</v>
      </c>
      <c r="F23" s="444" t="n">
        <f aca="false">F18+F19+F20+F21+F22</f>
        <v>-1103440</v>
      </c>
      <c r="G23" s="444" t="n">
        <f aca="false">G18+G19+G20+G21+G22</f>
        <v>-603440</v>
      </c>
      <c r="H23" s="444" t="n">
        <f aca="false">H18+H19+H20+H21+H22</f>
        <v>-603440</v>
      </c>
      <c r="I23" s="444" t="n">
        <f aca="false">I18+I19+I20+I21+I22</f>
        <v>-486000</v>
      </c>
      <c r="J23" s="444" t="n">
        <f aca="false">J18+J19+J20+J21+J22</f>
        <v>-486000</v>
      </c>
      <c r="K23" s="444" t="n">
        <f aca="false">K18+K19+K20+K21+K22</f>
        <v>0</v>
      </c>
    </row>
    <row r="24" customFormat="false" ht="15" hidden="false" customHeight="true" outlineLevel="0" collapsed="false">
      <c r="B24" s="6"/>
    </row>
    <row r="25" customFormat="false" ht="25.5" hidden="false" customHeight="true" outlineLevel="0" collapsed="false">
      <c r="B25" s="649" t="s">
        <v>2196</v>
      </c>
      <c r="C25" s="644" t="n">
        <f aca="false">C10+C15+C23</f>
        <v>0</v>
      </c>
      <c r="D25" s="644" t="n">
        <f aca="false">D10+D15+D23</f>
        <v>13275.5858532495</v>
      </c>
      <c r="E25" s="644" t="n">
        <f aca="false">E10+E15+E23</f>
        <v>371009.883015499</v>
      </c>
      <c r="F25" s="644" t="n">
        <f aca="false">F10+F15+F23</f>
        <v>724185.831638823</v>
      </c>
      <c r="G25" s="644" t="n">
        <f aca="false">G10+G15+G23</f>
        <v>1214388.59659299</v>
      </c>
      <c r="H25" s="644" t="n">
        <f aca="false">H10+H15+H23</f>
        <v>1487921.26397408</v>
      </c>
      <c r="I25" s="644" t="n">
        <f aca="false">I10+I15+I23</f>
        <v>1627525.90873236</v>
      </c>
      <c r="J25" s="644" t="n">
        <f aca="false">J10+J15+J23</f>
        <v>1705339.45145203</v>
      </c>
      <c r="K25" s="644" t="n">
        <f aca="false">K10+K15+K23</f>
        <v>2176213.55290731</v>
      </c>
    </row>
    <row r="26" customFormat="false" ht="15" hidden="false" customHeight="true" outlineLevel="0" collapsed="false">
      <c r="B26" s="113" t="s">
        <v>2197</v>
      </c>
      <c r="C26" s="385" t="n">
        <v>0</v>
      </c>
      <c r="D26" s="385" t="n">
        <f aca="false">C27</f>
        <v>0</v>
      </c>
      <c r="E26" s="385" t="n">
        <f aca="false">D27</f>
        <v>13275.5858532495</v>
      </c>
      <c r="F26" s="385" t="n">
        <f aca="false">E27</f>
        <v>384285.468868749</v>
      </c>
      <c r="G26" s="385" t="n">
        <f aca="false">F27</f>
        <v>1108471.30050757</v>
      </c>
      <c r="H26" s="385" t="n">
        <f aca="false">G27</f>
        <v>2322859.89710056</v>
      </c>
      <c r="I26" s="385" t="n">
        <f aca="false">H27</f>
        <v>3810781.16107464</v>
      </c>
      <c r="J26" s="385" t="n">
        <f aca="false">I27</f>
        <v>5438307.069807</v>
      </c>
      <c r="K26" s="385" t="n">
        <f aca="false">J27</f>
        <v>7143646.52125903</v>
      </c>
    </row>
    <row r="27" customFormat="false" ht="25.5" hidden="false" customHeight="true" outlineLevel="0" collapsed="false">
      <c r="B27" s="441" t="s">
        <v>2198</v>
      </c>
      <c r="C27" s="442" t="n">
        <f aca="false">C26+C25</f>
        <v>0</v>
      </c>
      <c r="D27" s="442" t="n">
        <f aca="false">D26+D25</f>
        <v>13275.5858532495</v>
      </c>
      <c r="E27" s="442" t="n">
        <f aca="false">E26+E25</f>
        <v>384285.468868749</v>
      </c>
      <c r="F27" s="442" t="n">
        <f aca="false">F26+F25</f>
        <v>1108471.30050757</v>
      </c>
      <c r="G27" s="442" t="n">
        <f aca="false">G26+G25</f>
        <v>2322859.89710056</v>
      </c>
      <c r="H27" s="442" t="n">
        <f aca="false">H26+H25</f>
        <v>3810781.16107464</v>
      </c>
      <c r="I27" s="442" t="n">
        <f aca="false">I26+I25</f>
        <v>5438307.069807</v>
      </c>
      <c r="J27" s="442" t="n">
        <f aca="false">J26+J25</f>
        <v>7143646.52125903</v>
      </c>
      <c r="K27" s="442" t="n">
        <f aca="false">K26+K25</f>
        <v>9319860.07416634</v>
      </c>
    </row>
  </sheetData>
  <mergeCells count="5">
    <mergeCell ref="B2:K2"/>
    <mergeCell ref="B3:K3"/>
    <mergeCell ref="B6:K6"/>
    <mergeCell ref="B12:K12"/>
    <mergeCell ref="B17:K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K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6.67"/>
    <col collapsed="false" customWidth="true" hidden="false" outlineLevel="0" max="11" min="3" style="0" width="13.67"/>
  </cols>
  <sheetData>
    <row r="1" customFormat="false" ht="15" hidden="false" customHeight="true" outlineLevel="0" collapsed="false">
      <c r="B1" s="6"/>
    </row>
    <row r="2" customFormat="false" ht="33.75" hidden="false" customHeight="true" outlineLevel="0" collapsed="false">
      <c r="B2" s="88" t="s">
        <v>2199</v>
      </c>
      <c r="C2" s="88"/>
      <c r="D2" s="88"/>
      <c r="E2" s="88"/>
      <c r="F2" s="88"/>
      <c r="G2" s="88"/>
      <c r="H2" s="88"/>
      <c r="I2" s="88"/>
      <c r="J2" s="88"/>
      <c r="K2" s="88"/>
    </row>
    <row r="3" customFormat="false" ht="93.75" hidden="false" customHeight="true" outlineLevel="0" collapsed="false">
      <c r="B3" s="42" t="str">
        <f aca="false">"Cash from CF · Net Fixed Assets = CapEx − Accumulated D&amp;A · Equity = Capital + Grants + Retained Earnings · NOTE: Gross Fixed Assets = $"&amp;TEXT(CapEx!E54/1000000,"0.00")&amp;"M includes $"&amp;TEXT(CapEx!E56/1000000,"0.00")&amp;"M Lessor contribution (offset by Capital Reserves on equity side)."</f>
        <v>Cash from CF · Net Fixed Assets = CapEx − Accumulated D&amp;A · Equity = Capital + Grants + Retained Earnings · NOTE: Gross Fixed Assets = $28.28M includes $9.19M Lessor contribution (offset by Capital Reserves on equity side).</v>
      </c>
    </row>
    <row r="4" customFormat="false" ht="15" hidden="false" customHeight="true" outlineLevel="0" collapsed="false">
      <c r="B4" s="6"/>
    </row>
    <row r="5" customFormat="false" ht="21.75" hidden="false" customHeight="true" outlineLevel="0" collapsed="false">
      <c r="B5" s="439" t="s">
        <v>2200</v>
      </c>
      <c r="C5" s="637" t="s">
        <v>756</v>
      </c>
      <c r="D5" s="637" t="s">
        <v>760</v>
      </c>
      <c r="E5" s="637" t="s">
        <v>908</v>
      </c>
      <c r="F5" s="637" t="s">
        <v>765</v>
      </c>
      <c r="G5" s="637" t="s">
        <v>770</v>
      </c>
      <c r="H5" s="637" t="s">
        <v>909</v>
      </c>
      <c r="I5" s="637" t="s">
        <v>910</v>
      </c>
      <c r="J5" s="637" t="s">
        <v>911</v>
      </c>
      <c r="K5" s="637" t="s">
        <v>912</v>
      </c>
    </row>
    <row r="6" customFormat="false" ht="19.5" hidden="false" customHeight="true" outlineLevel="0" collapsed="false">
      <c r="B6" s="332" t="s">
        <v>2201</v>
      </c>
      <c r="C6" s="332"/>
      <c r="D6" s="332"/>
      <c r="E6" s="332"/>
      <c r="F6" s="332"/>
      <c r="G6" s="332"/>
      <c r="H6" s="332"/>
      <c r="I6" s="332"/>
      <c r="J6" s="332"/>
      <c r="K6" s="332"/>
    </row>
    <row r="7" customFormat="false" ht="15" hidden="false" customHeight="true" outlineLevel="0" collapsed="false">
      <c r="B7" s="113" t="s">
        <v>2202</v>
      </c>
      <c r="C7" s="385" t="n">
        <f aca="false">'Consolidated 8Yr CF'!C27</f>
        <v>0</v>
      </c>
      <c r="D7" s="385" t="n">
        <f aca="false">'Consolidated 8Yr CF'!D27</f>
        <v>13275.5858532495</v>
      </c>
      <c r="E7" s="385" t="n">
        <f aca="false">'Consolidated 8Yr CF'!E27</f>
        <v>384285.468868749</v>
      </c>
      <c r="F7" s="385" t="n">
        <f aca="false">'Consolidated 8Yr CF'!F27</f>
        <v>1108471.30050757</v>
      </c>
      <c r="G7" s="385" t="n">
        <f aca="false">'Consolidated 8Yr CF'!G27</f>
        <v>2322859.89710056</v>
      </c>
      <c r="H7" s="385" t="n">
        <f aca="false">'Consolidated 8Yr CF'!H27</f>
        <v>3810781.16107464</v>
      </c>
      <c r="I7" s="385" t="n">
        <f aca="false">'Consolidated 8Yr CF'!I27</f>
        <v>5438307.069807</v>
      </c>
      <c r="J7" s="385" t="n">
        <f aca="false">'Consolidated 8Yr CF'!J27</f>
        <v>7143646.52125903</v>
      </c>
      <c r="K7" s="385" t="n">
        <f aca="false">'Consolidated 8Yr CF'!K27</f>
        <v>9319860.07416634</v>
      </c>
    </row>
    <row r="8" customFormat="false" ht="33.75" hidden="false" customHeight="true" outlineLevel="0" collapsed="false">
      <c r="B8" s="126" t="s">
        <v>2203</v>
      </c>
      <c r="C8" s="385" t="n">
        <v>0</v>
      </c>
      <c r="D8" s="385" t="n">
        <v>0</v>
      </c>
      <c r="E8" s="385" t="n">
        <v>0</v>
      </c>
      <c r="F8" s="385" t="n">
        <v>0</v>
      </c>
      <c r="G8" s="385" t="n">
        <v>0</v>
      </c>
      <c r="H8" s="385" t="n">
        <v>0</v>
      </c>
      <c r="I8" s="385" t="n">
        <v>0</v>
      </c>
      <c r="J8" s="385" t="n">
        <v>0</v>
      </c>
      <c r="K8" s="385" t="n">
        <v>0</v>
      </c>
    </row>
    <row r="9" customFormat="false" ht="33.75" hidden="false" customHeight="true" outlineLevel="0" collapsed="false">
      <c r="B9" s="126" t="s">
        <v>2204</v>
      </c>
      <c r="C9" s="385" t="n">
        <f aca="false">CapEx!E54</f>
        <v>28280000</v>
      </c>
      <c r="D9" s="385" t="n">
        <f aca="false">CapEx!E54-SUM('Consolidated 8Yr CF'!D14:D14)</f>
        <v>28386752.3544</v>
      </c>
      <c r="E9" s="385" t="n">
        <f aca="false">CapEx!E54-SUM('Consolidated 8Yr CF'!D14:E14)</f>
        <v>28506848.7531</v>
      </c>
      <c r="F9" s="385" t="n">
        <f aca="false">CapEx!E54-SUM('Consolidated 8Yr CF'!D14:F14)</f>
        <v>28640289.1961</v>
      </c>
      <c r="G9" s="385" t="n">
        <f aca="false">CapEx!E54-SUM('Consolidated 8Yr CF'!D14:G14)</f>
        <v>28773729.6391</v>
      </c>
      <c r="H9" s="385" t="n">
        <f aca="false">CapEx!E54-SUM('Consolidated 8Yr CF'!D14:H14)</f>
        <v>28913842.10425</v>
      </c>
      <c r="I9" s="385" t="n">
        <f aca="false">CapEx!E54-SUM('Consolidated 8Yr CF'!D14:I14)</f>
        <v>29058157.9433545</v>
      </c>
      <c r="J9" s="385" t="n">
        <f aca="false">CapEx!E54-SUM('Consolidated 8Yr CF'!D14:J14)</f>
        <v>29206803.2576321</v>
      </c>
      <c r="K9" s="385" t="n">
        <f aca="false">CapEx!E54-SUM('Consolidated 8Yr CF'!D14:K14)</f>
        <v>29359907.9313381</v>
      </c>
    </row>
    <row r="10" customFormat="false" ht="15" hidden="false" customHeight="true" outlineLevel="0" collapsed="false">
      <c r="B10" s="126" t="s">
        <v>2205</v>
      </c>
      <c r="C10" s="360" t="n">
        <v>0</v>
      </c>
      <c r="D10" s="360" t="n">
        <f aca="false">C10+Schedules!C9</f>
        <v>1965904.76190476</v>
      </c>
      <c r="E10" s="360" t="n">
        <f aca="false">D10+Schedules!D9</f>
        <v>3931809.52380952</v>
      </c>
      <c r="F10" s="360" t="n">
        <f aca="false">E10+Schedules!E9</f>
        <v>5897714.28571429</v>
      </c>
      <c r="G10" s="360" t="n">
        <f aca="false">F10+Schedules!F9</f>
        <v>7863619.04761905</v>
      </c>
      <c r="H10" s="360" t="n">
        <f aca="false">G10+Schedules!G9</f>
        <v>9829523.80952381</v>
      </c>
      <c r="I10" s="360" t="n">
        <f aca="false">H10+Schedules!H9</f>
        <v>11795428.5714286</v>
      </c>
      <c r="J10" s="360" t="n">
        <f aca="false">I10+Schedules!I9</f>
        <v>13761333.3333333</v>
      </c>
      <c r="K10" s="360" t="n">
        <f aca="false">J10+Schedules!J9</f>
        <v>15098666.6666667</v>
      </c>
    </row>
    <row r="11" customFormat="false" ht="15" hidden="false" customHeight="true" outlineLevel="0" collapsed="false">
      <c r="B11" s="645" t="s">
        <v>2206</v>
      </c>
      <c r="C11" s="406" t="n">
        <f aca="false">C9-C10</f>
        <v>28280000</v>
      </c>
      <c r="D11" s="406" t="n">
        <f aca="false">D9-D10</f>
        <v>26420847.5924952</v>
      </c>
      <c r="E11" s="406" t="n">
        <f aca="false">E9-E10</f>
        <v>24575039.2292905</v>
      </c>
      <c r="F11" s="406" t="n">
        <f aca="false">F9-F10</f>
        <v>22742574.9103857</v>
      </c>
      <c r="G11" s="406" t="n">
        <f aca="false">G9-G10</f>
        <v>20910110.591481</v>
      </c>
      <c r="H11" s="406" t="n">
        <f aca="false">H9-H10</f>
        <v>19084318.2947262</v>
      </c>
      <c r="I11" s="406" t="n">
        <f aca="false">I9-I10</f>
        <v>17262729.3719259</v>
      </c>
      <c r="J11" s="406" t="n">
        <f aca="false">J9-J10</f>
        <v>15445469.9242988</v>
      </c>
      <c r="K11" s="406" t="n">
        <f aca="false">K9-K10</f>
        <v>14261241.2646714</v>
      </c>
    </row>
    <row r="12" customFormat="false" ht="25.5" hidden="false" customHeight="true" outlineLevel="0" collapsed="false">
      <c r="B12" s="441" t="s">
        <v>2207</v>
      </c>
      <c r="C12" s="608" t="n">
        <f aca="false">C7+C8+C11</f>
        <v>28280000</v>
      </c>
      <c r="D12" s="608" t="n">
        <f aca="false">D7+D8+D11</f>
        <v>26434123.1783485</v>
      </c>
      <c r="E12" s="608" t="n">
        <f aca="false">E7+E8+E11</f>
        <v>24959324.6981592</v>
      </c>
      <c r="F12" s="608" t="n">
        <f aca="false">F7+F8+F11</f>
        <v>23851046.2108933</v>
      </c>
      <c r="G12" s="608" t="n">
        <f aca="false">G7+G8+G11</f>
        <v>23232970.4885815</v>
      </c>
      <c r="H12" s="608" t="n">
        <f aca="false">H7+H8+H11</f>
        <v>22895099.4558008</v>
      </c>
      <c r="I12" s="608" t="n">
        <f aca="false">I7+I8+I11</f>
        <v>22701036.4417329</v>
      </c>
      <c r="J12" s="608" t="n">
        <f aca="false">J7+J8+J11</f>
        <v>22589116.4455578</v>
      </c>
      <c r="K12" s="608" t="n">
        <f aca="false">K7+K8+K11</f>
        <v>23581101.3388378</v>
      </c>
    </row>
    <row r="13" customFormat="false" ht="15" hidden="false" customHeight="true" outlineLevel="0" collapsed="false">
      <c r="B13" s="6"/>
    </row>
    <row r="14" customFormat="false" ht="19.5" hidden="false" customHeight="true" outlineLevel="0" collapsed="false">
      <c r="B14" s="332" t="s">
        <v>2208</v>
      </c>
      <c r="C14" s="332"/>
      <c r="D14" s="332"/>
      <c r="E14" s="332"/>
      <c r="F14" s="332"/>
      <c r="G14" s="332"/>
      <c r="H14" s="332"/>
      <c r="I14" s="332"/>
      <c r="J14" s="332"/>
      <c r="K14" s="332"/>
    </row>
    <row r="15" customFormat="false" ht="15" hidden="false" customHeight="true" outlineLevel="0" collapsed="false">
      <c r="B15" s="126" t="s">
        <v>2209</v>
      </c>
      <c r="C15" s="385" t="n">
        <f aca="false">-CapEx!D64</f>
        <v>3402000</v>
      </c>
      <c r="D15" s="385" t="n">
        <f aca="false">Schedules!C15</f>
        <v>2916000</v>
      </c>
      <c r="E15" s="385" t="n">
        <f aca="false">Schedules!D15</f>
        <v>2430000</v>
      </c>
      <c r="F15" s="385" t="n">
        <f aca="false">Schedules!E15</f>
        <v>1944000</v>
      </c>
      <c r="G15" s="385" t="n">
        <f aca="false">Schedules!F15</f>
        <v>1458000</v>
      </c>
      <c r="H15" s="385" t="n">
        <f aca="false">Schedules!G15</f>
        <v>972000</v>
      </c>
      <c r="I15" s="385" t="n">
        <f aca="false">Schedules!H15</f>
        <v>486000</v>
      </c>
      <c r="J15" s="385" t="n">
        <f aca="false">Schedules!I15</f>
        <v>0</v>
      </c>
      <c r="K15" s="385" t="n">
        <f aca="false">Schedules!J15</f>
        <v>0</v>
      </c>
    </row>
    <row r="16" customFormat="false" ht="15" hidden="false" customHeight="true" outlineLevel="0" collapsed="false">
      <c r="B16" s="126" t="s">
        <v>2210</v>
      </c>
      <c r="C16" s="385" t="n">
        <v>1500000</v>
      </c>
      <c r="D16" s="385" t="n">
        <f aca="false">Schedules!C20</f>
        <v>1000000</v>
      </c>
      <c r="E16" s="385" t="n">
        <f aca="false">Schedules!D20</f>
        <v>500000</v>
      </c>
      <c r="F16" s="385" t="n">
        <f aca="false">Schedules!E20</f>
        <v>0</v>
      </c>
      <c r="G16" s="385" t="n">
        <f aca="false">Schedules!F20</f>
        <v>0</v>
      </c>
      <c r="H16" s="385" t="n">
        <f aca="false">Schedules!G20</f>
        <v>0</v>
      </c>
      <c r="I16" s="385" t="n">
        <f aca="false">Schedules!H20</f>
        <v>0</v>
      </c>
      <c r="J16" s="385" t="n">
        <f aca="false">Schedules!I20</f>
        <v>0</v>
      </c>
      <c r="K16" s="385" t="n">
        <f aca="false">Schedules!J20</f>
        <v>0</v>
      </c>
    </row>
    <row r="17" customFormat="false" ht="15" hidden="false" customHeight="true" outlineLevel="0" collapsed="false">
      <c r="B17" s="126" t="s">
        <v>2211</v>
      </c>
      <c r="C17" s="385" t="n">
        <f aca="false">-CapEx!D68</f>
        <v>587200</v>
      </c>
      <c r="D17" s="385" t="n">
        <f aca="false">Schedules!C30</f>
        <v>469760</v>
      </c>
      <c r="E17" s="385" t="n">
        <f aca="false">Schedules!D30</f>
        <v>352320</v>
      </c>
      <c r="F17" s="385" t="n">
        <f aca="false">Schedules!E30</f>
        <v>234880</v>
      </c>
      <c r="G17" s="385" t="n">
        <f aca="false">Schedules!F30</f>
        <v>117440</v>
      </c>
      <c r="H17" s="385" t="n">
        <f aca="false">Schedules!G30</f>
        <v>0</v>
      </c>
      <c r="I17" s="385" t="n">
        <f aca="false">Schedules!H30</f>
        <v>0</v>
      </c>
      <c r="J17" s="385" t="n">
        <f aca="false">Schedules!I30</f>
        <v>0</v>
      </c>
      <c r="K17" s="385" t="n">
        <f aca="false">Schedules!J30</f>
        <v>0</v>
      </c>
    </row>
    <row r="18" customFormat="false" ht="21.75" hidden="false" customHeight="true" outlineLevel="0" collapsed="false">
      <c r="B18" s="650" t="s">
        <v>2212</v>
      </c>
      <c r="C18" s="651" t="n">
        <f aca="false">C15+C16+C17</f>
        <v>5489200</v>
      </c>
      <c r="D18" s="651" t="n">
        <f aca="false">D15+D16+D17</f>
        <v>4385760</v>
      </c>
      <c r="E18" s="651" t="n">
        <f aca="false">E15+E16+E17</f>
        <v>3282320</v>
      </c>
      <c r="F18" s="651" t="n">
        <f aca="false">F15+F16+F17</f>
        <v>2178880</v>
      </c>
      <c r="G18" s="651" t="n">
        <f aca="false">G15+G16+G17</f>
        <v>1575440</v>
      </c>
      <c r="H18" s="651" t="n">
        <f aca="false">H15+H16+H17</f>
        <v>972000</v>
      </c>
      <c r="I18" s="651" t="n">
        <f aca="false">I15+I16+I17</f>
        <v>486000</v>
      </c>
      <c r="J18" s="651" t="n">
        <f aca="false">J15+J16+J17</f>
        <v>0</v>
      </c>
      <c r="K18" s="651" t="n">
        <f aca="false">K15+K16+K17</f>
        <v>0</v>
      </c>
    </row>
    <row r="19" customFormat="false" ht="15" hidden="false" customHeight="true" outlineLevel="0" collapsed="false">
      <c r="B19" s="6"/>
    </row>
    <row r="20" customFormat="false" ht="19.5" hidden="false" customHeight="true" outlineLevel="0" collapsed="false">
      <c r="B20" s="332" t="s">
        <v>2213</v>
      </c>
      <c r="C20" s="332"/>
      <c r="D20" s="332"/>
      <c r="E20" s="332"/>
      <c r="F20" s="332"/>
      <c r="G20" s="332"/>
      <c r="H20" s="332"/>
      <c r="I20" s="332"/>
      <c r="J20" s="332"/>
      <c r="K20" s="332"/>
    </row>
    <row r="21" customFormat="false" ht="33.75" hidden="false" customHeight="true" outlineLevel="0" collapsed="false">
      <c r="B21" s="126" t="s">
        <v>2214</v>
      </c>
      <c r="C21" s="385" t="n">
        <f aca="false">CapEx!D70</f>
        <v>7820000</v>
      </c>
      <c r="D21" s="385" t="n">
        <f aca="false">CapEx!D70</f>
        <v>7820000</v>
      </c>
      <c r="E21" s="385" t="n">
        <f aca="false">CapEx!D70</f>
        <v>7820000</v>
      </c>
      <c r="F21" s="385" t="n">
        <f aca="false">CapEx!D70</f>
        <v>7820000</v>
      </c>
      <c r="G21" s="385" t="n">
        <f aca="false">CapEx!D70</f>
        <v>7820000</v>
      </c>
      <c r="H21" s="385" t="n">
        <f aca="false">CapEx!D70</f>
        <v>7820000</v>
      </c>
      <c r="I21" s="385" t="n">
        <f aca="false">CapEx!D70</f>
        <v>7820000</v>
      </c>
      <c r="J21" s="385" t="n">
        <f aca="false">CapEx!D70</f>
        <v>7820000</v>
      </c>
      <c r="K21" s="385" t="n">
        <f aca="false">CapEx!D70</f>
        <v>7820000</v>
      </c>
    </row>
    <row r="22" customFormat="false" ht="15" hidden="false" customHeight="true" outlineLevel="0" collapsed="false">
      <c r="B22" s="126" t="s">
        <v>2215</v>
      </c>
      <c r="C22" s="385" t="n">
        <f aca="false">-(CapEx!D60+CapEx!D61+CapEx!D62+CapEx!D63)</f>
        <v>14270800</v>
      </c>
      <c r="D22" s="385" t="n">
        <f aca="false">-(CapEx!D60+CapEx!D61+CapEx!D62+CapEx!D63)</f>
        <v>14270800</v>
      </c>
      <c r="E22" s="385" t="n">
        <f aca="false">-(CapEx!D60+CapEx!D61+CapEx!D62+CapEx!D63)</f>
        <v>14270800</v>
      </c>
      <c r="F22" s="385" t="n">
        <f aca="false">-(CapEx!D60+CapEx!D61+CapEx!D62+CapEx!D63)</f>
        <v>14270800</v>
      </c>
      <c r="G22" s="385" t="n">
        <f aca="false">-(CapEx!D60+CapEx!D61+CapEx!D62+CapEx!D63)</f>
        <v>14270800</v>
      </c>
      <c r="H22" s="385" t="n">
        <f aca="false">-(CapEx!D60+CapEx!D61+CapEx!D62+CapEx!D63)</f>
        <v>14270800</v>
      </c>
      <c r="I22" s="385" t="n">
        <f aca="false">-(CapEx!D60+CapEx!D61+CapEx!D62+CapEx!D63)</f>
        <v>14270800</v>
      </c>
      <c r="J22" s="385" t="n">
        <f aca="false">-(CapEx!D60+CapEx!D61+CapEx!D62+CapEx!D63)</f>
        <v>14270800</v>
      </c>
      <c r="K22" s="385" t="n">
        <f aca="false">-(CapEx!D60+CapEx!D61+CapEx!D62+CapEx!D63)</f>
        <v>14270800</v>
      </c>
    </row>
    <row r="23" customFormat="false" ht="15" hidden="false" customHeight="true" outlineLevel="0" collapsed="false">
      <c r="B23" s="113" t="s">
        <v>2216</v>
      </c>
      <c r="C23" s="385" t="n">
        <f aca="false">-(CapEx!D66+CapEx!D67)</f>
        <v>700000</v>
      </c>
      <c r="D23" s="385" t="n">
        <f aca="false">-(CapEx!D66+CapEx!D67)</f>
        <v>700000</v>
      </c>
      <c r="E23" s="385" t="n">
        <f aca="false">-(CapEx!D66+CapEx!D67)</f>
        <v>700000</v>
      </c>
      <c r="F23" s="385" t="n">
        <f aca="false">-(CapEx!D66+CapEx!D67)</f>
        <v>700000</v>
      </c>
      <c r="G23" s="385" t="n">
        <f aca="false">-(CapEx!D66+CapEx!D67)</f>
        <v>700000</v>
      </c>
      <c r="H23" s="385" t="n">
        <f aca="false">-(CapEx!D66+CapEx!D67)</f>
        <v>700000</v>
      </c>
      <c r="I23" s="385" t="n">
        <f aca="false">-(CapEx!D66+CapEx!D67)</f>
        <v>700000</v>
      </c>
      <c r="J23" s="385" t="n">
        <f aca="false">-(CapEx!D66+CapEx!D67)</f>
        <v>700000</v>
      </c>
      <c r="K23" s="385" t="n">
        <f aca="false">-(CapEx!D66+CapEx!D67)</f>
        <v>700000</v>
      </c>
    </row>
    <row r="24" customFormat="false" ht="15" hidden="false" customHeight="true" outlineLevel="0" collapsed="false">
      <c r="B24" s="126" t="s">
        <v>2217</v>
      </c>
      <c r="C24" s="357" t="n">
        <v>0</v>
      </c>
      <c r="D24" s="357" t="n">
        <f aca="false">C24+'Consolidated 8Yr P&amp;L'!C48</f>
        <v>-742436.821651512</v>
      </c>
      <c r="E24" s="357" t="n">
        <f aca="false">D24+'Consolidated 8Yr P&amp;L'!D48</f>
        <v>-1113795.30184078</v>
      </c>
      <c r="F24" s="357" t="n">
        <f aca="false">E24+'Consolidated 8Yr P&amp;L'!E48</f>
        <v>-1118633.78910671</v>
      </c>
      <c r="G24" s="357" t="n">
        <f aca="false">F24+'Consolidated 8Yr P&amp;L'!F48</f>
        <v>-1133269.51141849</v>
      </c>
      <c r="H24" s="357" t="n">
        <f aca="false">G24+'Consolidated 8Yr P&amp;L'!G48</f>
        <v>-867700.544199168</v>
      </c>
      <c r="I24" s="357" t="n">
        <f aca="false">H24+'Consolidated 8Yr P&amp;L'!H48</f>
        <v>-575763.558267073</v>
      </c>
      <c r="J24" s="357" t="n">
        <f aca="false">I24+'Consolidated 8Yr P&amp;L'!I48</f>
        <v>-201683.554442171</v>
      </c>
      <c r="K24" s="357" t="n">
        <f aca="false">J24+'Consolidated 8Yr P&amp;L'!J48</f>
        <v>790301.338837774</v>
      </c>
    </row>
    <row r="25" customFormat="false" ht="21.75" hidden="false" customHeight="true" outlineLevel="0" collapsed="false">
      <c r="B25" s="652" t="s">
        <v>2218</v>
      </c>
      <c r="C25" s="653" t="n">
        <f aca="false">C21+C22+C23+C24</f>
        <v>22790800</v>
      </c>
      <c r="D25" s="653" t="n">
        <f aca="false">D21+D22+D23+D24</f>
        <v>22048363.1783485</v>
      </c>
      <c r="E25" s="653" t="n">
        <f aca="false">E21+E22+E23+E24</f>
        <v>21677004.6981592</v>
      </c>
      <c r="F25" s="653" t="n">
        <f aca="false">F21+F22+F23+F24</f>
        <v>21672166.2108933</v>
      </c>
      <c r="G25" s="653" t="n">
        <f aca="false">G21+G22+G23+G24</f>
        <v>21657530.4885815</v>
      </c>
      <c r="H25" s="653" t="n">
        <f aca="false">H21+H22+H23+H24</f>
        <v>21923099.4558008</v>
      </c>
      <c r="I25" s="653" t="n">
        <f aca="false">I21+I22+I23+I24</f>
        <v>22215036.4417329</v>
      </c>
      <c r="J25" s="653" t="n">
        <f aca="false">J21+J22+J23+J24</f>
        <v>22589116.4455578</v>
      </c>
      <c r="K25" s="653" t="n">
        <f aca="false">K21+K22+K23+K24</f>
        <v>23581101.3388378</v>
      </c>
    </row>
    <row r="26" customFormat="false" ht="15" hidden="false" customHeight="true" outlineLevel="0" collapsed="false">
      <c r="B26" s="6"/>
    </row>
    <row r="27" customFormat="false" ht="24" hidden="false" customHeight="true" outlineLevel="0" collapsed="false">
      <c r="B27" s="654" t="s">
        <v>2219</v>
      </c>
      <c r="C27" s="608" t="n">
        <f aca="false">C18+C25</f>
        <v>28280000</v>
      </c>
      <c r="D27" s="608" t="n">
        <f aca="false">D18+D25</f>
        <v>26434123.1783485</v>
      </c>
      <c r="E27" s="608" t="n">
        <f aca="false">E18+E25</f>
        <v>24959324.6981592</v>
      </c>
      <c r="F27" s="608" t="n">
        <f aca="false">F18+F25</f>
        <v>23851046.2108933</v>
      </c>
      <c r="G27" s="608" t="n">
        <f aca="false">G18+G25</f>
        <v>23232970.4885815</v>
      </c>
      <c r="H27" s="608" t="n">
        <f aca="false">H18+H25</f>
        <v>22895099.4558008</v>
      </c>
      <c r="I27" s="608" t="n">
        <f aca="false">I18+I25</f>
        <v>22701036.4417329</v>
      </c>
      <c r="J27" s="608" t="n">
        <f aca="false">J18+J25</f>
        <v>22589116.4455578</v>
      </c>
      <c r="K27" s="608" t="n">
        <f aca="false">K18+K25</f>
        <v>23581101.3388378</v>
      </c>
    </row>
    <row r="28" customFormat="false" ht="15" hidden="false" customHeight="true" outlineLevel="0" collapsed="false">
      <c r="B28" s="104" t="s">
        <v>2220</v>
      </c>
      <c r="C28" s="655" t="n">
        <f aca="false">C12-C27</f>
        <v>0</v>
      </c>
      <c r="D28" s="655" t="n">
        <f aca="false">D12-D27</f>
        <v>0</v>
      </c>
      <c r="E28" s="655" t="n">
        <f aca="false">E12-E27</f>
        <v>0</v>
      </c>
      <c r="F28" s="655" t="n">
        <f aca="false">F12-F27</f>
        <v>0</v>
      </c>
      <c r="G28" s="655" t="n">
        <f aca="false">G12-G27</f>
        <v>0</v>
      </c>
      <c r="H28" s="655" t="n">
        <f aca="false">H12-H27</f>
        <v>0</v>
      </c>
      <c r="I28" s="655" t="n">
        <f aca="false">I12-I27</f>
        <v>0</v>
      </c>
      <c r="J28" s="655" t="n">
        <f aca="false">J12-J27</f>
        <v>0</v>
      </c>
      <c r="K28" s="655" t="n">
        <f aca="false">K12-K27</f>
        <v>0</v>
      </c>
    </row>
  </sheetData>
  <mergeCells count="4">
    <mergeCell ref="B2:K2"/>
    <mergeCell ref="B6:K6"/>
    <mergeCell ref="B14:K14"/>
    <mergeCell ref="B20:K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N10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5" min="3" style="0" width="18"/>
    <col collapsed="false" customWidth="true" hidden="false" outlineLevel="0" max="8" min="6" style="0" width="11"/>
    <col collapsed="false" customWidth="true" hidden="false" outlineLevel="0" max="11" min="9" style="0" width="9"/>
  </cols>
  <sheetData>
    <row r="1" customFormat="false" ht="3.75" hidden="false" customHeight="true" outlineLevel="0" collapsed="false">
      <c r="B1" s="1"/>
      <c r="C1" s="2"/>
      <c r="D1" s="1"/>
      <c r="E1" s="2"/>
      <c r="F1" s="2"/>
      <c r="G1" s="2"/>
      <c r="H1" s="2"/>
      <c r="I1" s="2"/>
      <c r="J1" s="2"/>
      <c r="K1" s="2"/>
    </row>
    <row r="2" customFormat="false" ht="27.75" hidden="false" customHeight="true" outlineLevel="0" collapsed="false">
      <c r="B2" s="88" t="s">
        <v>197</v>
      </c>
      <c r="C2" s="88"/>
      <c r="D2" s="88"/>
      <c r="E2" s="88"/>
      <c r="F2" s="88"/>
      <c r="G2" s="88"/>
      <c r="H2" s="89" t="s">
        <v>198</v>
      </c>
      <c r="I2" s="89"/>
      <c r="J2" s="89"/>
      <c r="K2" s="89"/>
    </row>
    <row r="3" customFormat="false" ht="36" hidden="false" customHeight="true" outlineLevel="0" collapsed="false">
      <c r="B3" s="90" t="s">
        <v>199</v>
      </c>
      <c r="C3" s="90"/>
      <c r="D3" s="90"/>
      <c r="E3" s="90"/>
      <c r="F3" s="90"/>
      <c r="G3" s="90"/>
      <c r="H3" s="90"/>
      <c r="I3" s="90"/>
      <c r="J3" s="90"/>
      <c r="K3" s="90"/>
    </row>
    <row r="4" customFormat="false" ht="15" hidden="false" customHeight="true" outlineLevel="0" collapsed="false">
      <c r="B4" s="6"/>
      <c r="D4" s="6"/>
    </row>
    <row r="5" customFormat="false" ht="36" hidden="false" customHeight="true" outlineLevel="0" collapsed="false">
      <c r="B5" s="51" t="s">
        <v>200</v>
      </c>
      <c r="C5" s="51"/>
      <c r="D5" s="51"/>
      <c r="E5" s="51"/>
      <c r="F5" s="51"/>
      <c r="G5" s="51"/>
      <c r="H5" s="51"/>
      <c r="I5" s="51"/>
      <c r="J5" s="51"/>
      <c r="K5" s="51"/>
    </row>
    <row r="6" customFormat="false" ht="15" hidden="false" customHeight="true" outlineLevel="0" collapsed="false">
      <c r="B6" s="6"/>
      <c r="D6" s="6"/>
    </row>
    <row r="7" customFormat="false" ht="31.5" hidden="false" customHeight="true" outlineLevel="0" collapsed="false">
      <c r="B7" s="91" t="s">
        <v>201</v>
      </c>
      <c r="C7" s="92" t="str">
        <f aca="false">H7</f>
        <v>BASE</v>
      </c>
      <c r="D7" s="6"/>
      <c r="G7" s="93" t="s">
        <v>202</v>
      </c>
      <c r="H7" s="94" t="s">
        <v>203</v>
      </c>
    </row>
    <row r="8" customFormat="false" ht="15" hidden="false" customHeight="true" outlineLevel="0" collapsed="false">
      <c r="B8" s="6"/>
      <c r="D8" s="6"/>
    </row>
    <row r="9" customFormat="false" ht="27.75" hidden="false" customHeight="true" outlineLevel="0" collapsed="false">
      <c r="B9" s="95" t="s">
        <v>204</v>
      </c>
      <c r="C9" s="95"/>
      <c r="D9" s="95"/>
      <c r="E9" s="95"/>
      <c r="F9" s="95"/>
      <c r="G9" s="95"/>
      <c r="H9" s="95"/>
      <c r="I9" s="95"/>
      <c r="J9" s="95"/>
      <c r="K9" s="95"/>
      <c r="L9" s="95"/>
      <c r="M9" s="95"/>
      <c r="N9" s="95"/>
    </row>
    <row r="10" customFormat="false" ht="24" hidden="false" customHeight="true" outlineLevel="0" collapsed="false">
      <c r="B10" s="96" t="s">
        <v>205</v>
      </c>
      <c r="C10" s="96"/>
      <c r="D10" s="96"/>
      <c r="E10" s="96"/>
      <c r="F10" s="96"/>
      <c r="G10" s="96"/>
      <c r="H10" s="96"/>
      <c r="I10" s="96"/>
      <c r="J10" s="96"/>
      <c r="K10" s="96"/>
    </row>
    <row r="11" customFormat="false" ht="19.5" hidden="false" customHeight="true" outlineLevel="0" collapsed="false">
      <c r="B11" s="97" t="s">
        <v>206</v>
      </c>
      <c r="C11" s="98" t="s">
        <v>207</v>
      </c>
      <c r="D11" s="99" t="s">
        <v>208</v>
      </c>
      <c r="E11" s="98" t="s">
        <v>209</v>
      </c>
      <c r="F11" s="98" t="s">
        <v>210</v>
      </c>
    </row>
    <row r="12" customFormat="false" ht="31.5" hidden="false" customHeight="true" outlineLevel="0" collapsed="false">
      <c r="B12" s="100" t="s">
        <v>211</v>
      </c>
      <c r="C12" s="101" t="n">
        <f aca="false">C26</f>
        <v>6672022.15</v>
      </c>
      <c r="D12" s="102" t="n">
        <f aca="false">'Master Cost'!I17</f>
        <v>4022722.921025</v>
      </c>
      <c r="E12" s="101" t="n">
        <f aca="false">C50</f>
        <v>2261172.256525</v>
      </c>
      <c r="F12" s="103" t="n">
        <f aca="false">E12/C12</f>
        <v>0.338903589599894</v>
      </c>
    </row>
    <row r="13" customFormat="false" ht="66" hidden="false" customHeight="true" outlineLevel="0" collapsed="false">
      <c r="B13" s="104" t="s">
        <v>212</v>
      </c>
      <c r="C13" s="105" t="n">
        <f aca="false">'Events · Drivers'!C145</f>
        <v>2.56818181818182</v>
      </c>
      <c r="D13" s="106" t="str">
        <f aca="false">IF('Events · Drivers'!C145&gt;=1.2,"✅ STRONG funnel slack — supports upside",IF('Events · Drivers'!C145&gt;=1,"✅ OK — demand validated by lead funnel",IF('Events · Drivers'!C145&gt;=0.9,"⚠ MARGINAL — funnel within 10% of plan","❌ UNDER-SUPPORTED — pipeline gap")))</f>
        <v>✅ STRONG funnel slack — supports upside</v>
      </c>
      <c r="E13" s="106"/>
      <c r="F13" s="106"/>
      <c r="G13" s="107" t="s">
        <v>213</v>
      </c>
    </row>
    <row r="14" customFormat="false" ht="18" hidden="false" customHeight="true" outlineLevel="0" collapsed="false">
      <c r="B14" s="108" t="s">
        <v>214</v>
      </c>
      <c r="C14" s="109" t="n">
        <f aca="false">C12</f>
        <v>6672022.15</v>
      </c>
      <c r="D14" s="110" t="n">
        <f aca="false">C12-E14</f>
        <v>2649299.228975</v>
      </c>
      <c r="E14" s="109" t="n">
        <f aca="false">E26</f>
        <v>4022722.921025</v>
      </c>
      <c r="F14" s="111" t="n">
        <f aca="false">E14/C14</f>
        <v>0.602924095661913</v>
      </c>
      <c r="G14" s="112" t="str">
        <f aca="false">"← before $"&amp;TEXT('Master Cost'!C55/1000,"#,##0")&amp;"K Group Overhead (centralized: facility + corporate functions + transaction fees) deduction"</f>
        <v>← before $1,762K Group Overhead (centralized: facility + corporate functions + transaction fees) deduction</v>
      </c>
    </row>
    <row r="15" customFormat="false" ht="33.75" hidden="false" customHeight="true" outlineLevel="0" collapsed="false">
      <c r="B15" s="96" t="s">
        <v>215</v>
      </c>
      <c r="C15" s="96"/>
      <c r="D15" s="96"/>
      <c r="E15" s="96"/>
      <c r="F15" s="96"/>
      <c r="G15" s="96"/>
      <c r="H15" s="96"/>
      <c r="I15" s="96"/>
      <c r="J15" s="96"/>
      <c r="K15" s="96"/>
    </row>
    <row r="16" customFormat="false" ht="19.5" hidden="false" customHeight="true" outlineLevel="0" collapsed="false">
      <c r="B16" s="97" t="s">
        <v>136</v>
      </c>
      <c r="C16" s="98" t="s">
        <v>137</v>
      </c>
      <c r="D16" s="99" t="s">
        <v>216</v>
      </c>
      <c r="E16" s="98" t="s">
        <v>209</v>
      </c>
      <c r="F16" s="98" t="s">
        <v>210</v>
      </c>
    </row>
    <row r="17" customFormat="false" ht="16.5" hidden="false" customHeight="true" outlineLevel="0" collapsed="false">
      <c r="B17" s="113" t="s">
        <v>217</v>
      </c>
      <c r="C17" s="114" t="n">
        <f aca="false">'Master Revenue'!H7</f>
        <v>1000998.35</v>
      </c>
      <c r="D17" s="115" t="n">
        <f aca="false">C17/$C$26</f>
        <v>0.150029230643366</v>
      </c>
      <c r="E17" s="114" t="n">
        <f aca="false">'Master Cost'!I7</f>
        <v>533507.497025</v>
      </c>
      <c r="F17" s="116" t="n">
        <f aca="false">IFERROR(E17/C17,0)</f>
        <v>0.532975401033378</v>
      </c>
    </row>
    <row r="18" customFormat="false" ht="16.5" hidden="false" customHeight="true" outlineLevel="0" collapsed="false">
      <c r="B18" s="113" t="s">
        <v>218</v>
      </c>
      <c r="C18" s="114" t="n">
        <f aca="false">'Master Revenue'!H8</f>
        <v>1206210</v>
      </c>
      <c r="D18" s="115" t="n">
        <f aca="false">C18/$C$26</f>
        <v>0.18078627032136</v>
      </c>
      <c r="E18" s="114" t="n">
        <f aca="false">'Master Cost'!I8</f>
        <v>808282</v>
      </c>
      <c r="F18" s="116" t="n">
        <f aca="false">IFERROR(E18/C18,0)</f>
        <v>0.670100562920221</v>
      </c>
    </row>
    <row r="19" customFormat="false" ht="16.5" hidden="false" customHeight="true" outlineLevel="0" collapsed="false">
      <c r="B19" s="113" t="s">
        <v>145</v>
      </c>
      <c r="C19" s="114" t="n">
        <f aca="false">'Master Revenue'!H9</f>
        <v>1595070</v>
      </c>
      <c r="D19" s="115" t="n">
        <f aca="false">C19/$C$26</f>
        <v>0.239068450934324</v>
      </c>
      <c r="E19" s="114" t="n">
        <f aca="false">'Master Cost'!I9</f>
        <v>1082048</v>
      </c>
      <c r="F19" s="116" t="n">
        <f aca="false">IFERROR(E19/C19,0)</f>
        <v>0.678370228265844</v>
      </c>
    </row>
    <row r="20" customFormat="false" ht="16.5" hidden="false" customHeight="true" outlineLevel="0" collapsed="false">
      <c r="B20" s="113" t="s">
        <v>219</v>
      </c>
      <c r="C20" s="114" t="n">
        <f aca="false">'Master Revenue'!H10</f>
        <v>693656.4</v>
      </c>
      <c r="D20" s="115" t="n">
        <f aca="false">C20/$C$26</f>
        <v>0.10396494262238</v>
      </c>
      <c r="E20" s="114" t="n">
        <f aca="false">'Master Cost'!I10</f>
        <v>477658</v>
      </c>
      <c r="F20" s="116" t="n">
        <f aca="false">IFERROR(E20/C20,0)</f>
        <v>0.688608942410104</v>
      </c>
    </row>
    <row r="21" customFormat="false" ht="16.5" hidden="false" customHeight="true" outlineLevel="0" collapsed="false">
      <c r="B21" s="113" t="s">
        <v>151</v>
      </c>
      <c r="C21" s="114" t="n">
        <f aca="false">'Master Revenue'!H11</f>
        <v>488873.1</v>
      </c>
      <c r="D21" s="115" t="n">
        <f aca="false">C21/$C$26</f>
        <v>0.0732721038703386</v>
      </c>
      <c r="E21" s="114" t="n">
        <f aca="false">'Master Cost'!I11</f>
        <v>239836.9</v>
      </c>
      <c r="F21" s="116" t="n">
        <f aca="false">IFERROR(E21/C21,0)</f>
        <v>0.49059132114244</v>
      </c>
    </row>
    <row r="22" customFormat="false" ht="16.5" hidden="false" customHeight="true" outlineLevel="0" collapsed="false">
      <c r="B22" s="113" t="s">
        <v>157</v>
      </c>
      <c r="C22" s="114" t="n">
        <f aca="false">'Master Revenue'!H12</f>
        <v>321000</v>
      </c>
      <c r="D22" s="115" t="n">
        <f aca="false">C22/$C$26</f>
        <v>0.0481113510691807</v>
      </c>
      <c r="E22" s="114" t="n">
        <f aca="false">'Master Cost'!I12</f>
        <v>293080</v>
      </c>
      <c r="F22" s="116" t="n">
        <f aca="false">IFERROR(E22/C22,0)</f>
        <v>0.913021806853583</v>
      </c>
    </row>
    <row r="23" customFormat="false" ht="16.5" hidden="false" customHeight="true" outlineLevel="0" collapsed="false">
      <c r="B23" s="113" t="s">
        <v>143</v>
      </c>
      <c r="C23" s="114" t="n">
        <f aca="false">'Master Revenue'!H13</f>
        <v>789714.3</v>
      </c>
      <c r="D23" s="115" t="n">
        <f aca="false">C23/$C$26</f>
        <v>0.118362062092375</v>
      </c>
      <c r="E23" s="114" t="n">
        <f aca="false">'Master Cost'!I13</f>
        <v>210270.524</v>
      </c>
      <c r="F23" s="116" t="n">
        <f aca="false">IFERROR(E23/C23,0)</f>
        <v>0.266261512549538</v>
      </c>
    </row>
    <row r="24" customFormat="false" ht="16.5" hidden="false" customHeight="true" outlineLevel="0" collapsed="false">
      <c r="B24" s="113" t="s">
        <v>153</v>
      </c>
      <c r="C24" s="114" t="n">
        <f aca="false">'Master Revenue'!H14</f>
        <v>287000</v>
      </c>
      <c r="D24" s="115" t="n">
        <f aca="false">C24/$C$26</f>
        <v>0.0430154447254046</v>
      </c>
      <c r="E24" s="114" t="n">
        <f aca="false">'Master Cost'!I14</f>
        <v>181040</v>
      </c>
      <c r="F24" s="116" t="n">
        <f aca="false">IFERROR(E24/C24,0)</f>
        <v>0.630801393728223</v>
      </c>
    </row>
    <row r="25" customFormat="false" ht="16.5" hidden="false" customHeight="true" outlineLevel="0" collapsed="false">
      <c r="B25" s="113" t="s">
        <v>155</v>
      </c>
      <c r="C25" s="114" t="n">
        <f aca="false">'Master Revenue'!H15</f>
        <v>289500</v>
      </c>
      <c r="D25" s="115" t="n">
        <f aca="false">C25/$C$26</f>
        <v>0.0433901437212705</v>
      </c>
      <c r="E25" s="114" t="n">
        <f aca="false">'Master Cost'!I15</f>
        <v>197000</v>
      </c>
      <c r="F25" s="116" t="n">
        <f aca="false">IFERROR(E25/C25,0)</f>
        <v>0.680483592400691</v>
      </c>
    </row>
    <row r="26" customFormat="false" ht="25.5" hidden="false" customHeight="true" outlineLevel="0" collapsed="false">
      <c r="B26" s="117" t="s">
        <v>220</v>
      </c>
      <c r="C26" s="118" t="n">
        <f aca="false">SUM(C17:C25)</f>
        <v>6672022.15</v>
      </c>
      <c r="D26" s="119" t="n">
        <f aca="false">SUM(D17:D25)</f>
        <v>1</v>
      </c>
      <c r="E26" s="120" t="n">
        <f aca="false">SUM(E17:E25)</f>
        <v>4022722.921025</v>
      </c>
      <c r="F26" s="121" t="n">
        <f aca="false">E26/C26</f>
        <v>0.602924095661913</v>
      </c>
    </row>
    <row r="27" customFormat="false" ht="15" hidden="false" customHeight="true" outlineLevel="0" collapsed="false">
      <c r="B27" s="6"/>
      <c r="D27" s="6"/>
    </row>
    <row r="28" customFormat="false" ht="15" hidden="false" customHeight="true" outlineLevel="0" collapsed="false">
      <c r="B28" s="6"/>
      <c r="D28" s="6"/>
    </row>
    <row r="29" customFormat="false" ht="21.75" hidden="false" customHeight="true" outlineLevel="0" collapsed="false">
      <c r="B29" s="72" t="s">
        <v>221</v>
      </c>
      <c r="C29" s="72"/>
      <c r="D29" s="72"/>
      <c r="E29" s="72"/>
      <c r="F29" s="72"/>
      <c r="G29" s="72"/>
      <c r="H29" s="72"/>
      <c r="I29" s="72"/>
      <c r="J29" s="72"/>
      <c r="K29" s="72"/>
    </row>
    <row r="30" customFormat="false" ht="216" hidden="false" customHeight="true" outlineLevel="0" collapsed="false">
      <c r="B30" s="122" t="str">
        <f aca="false">"DIVERSIFIED PLATFORM — 9 revenue streams, no single pillar exceeds "&amp;TEXT(MAX('Master Revenue'!D7:D15)/'Master Revenue'!D17,"0%")&amp;" of revenue."&amp;CHAR(10)&amp;CHAR(10)&amp;"• ENGAGEMENT CORE — Gaming Hall + Esports Lounge + Museum (footfall-driven entertainment + cultural anchor)"&amp;CHAR(10)&amp;"• LEARNING CORE — Academy (B2C cohorts + B2B corporate training, "&amp;TEXT('Master Revenue'!D9/'Master Revenue'!D17,"0%")&amp;" of total revenue)"&amp;CHAR(10)&amp;"• EVENTS + F&amp;B — Events Hall + F&amp;B (cross-pillar amplifier, event catering)"&amp;CHAR(10)&amp;"• STABILITY LAYER — Subleasing (rooftop + 500 sqm leasable, 91% margin) + Sponsorships (4 diversified streams, 30% Title close prob)"&amp;CHAR(10)&amp;"• ECOSYSTEM LAYER — Borderless (Talent + Studio + Education, asset-light)"</f>
        <v>DIVERSIFIED PLATFORM — 9 revenue streams, no single pillar exceeds 24% of revenue.
• ENGAGEMENT CORE — Gaming Hall + Esports Lounge + Museum (footfall-driven entertainment + cultural anchor)
• LEARNING CORE — Academy (B2C cohorts + B2B corporate training, 24% of total revenue)
• EVENTS + F&amp;B — Events Hall + F&amp;B (cross-pillar amplifier, event catering)
• STABILITY LAYER — Subleasing (rooftop + 500 sqm leasable, 91% margin) + Sponsorships (4 diversified streams, 30% Title close prob)
• ECOSYSTEM LAYER — Borderless (Talent + Studio + Education, asset-light)</v>
      </c>
      <c r="D30" s="6"/>
    </row>
    <row r="31" customFormat="false" ht="15" hidden="false" customHeight="true" outlineLevel="0" collapsed="false">
      <c r="B31" s="6"/>
      <c r="D31" s="6"/>
    </row>
    <row r="32" customFormat="false" ht="15" hidden="false" customHeight="true" outlineLevel="0" collapsed="false">
      <c r="B32" s="6"/>
      <c r="D32" s="6"/>
    </row>
    <row r="33" customFormat="false" ht="15" hidden="false" customHeight="true" outlineLevel="0" collapsed="false">
      <c r="B33" s="6"/>
      <c r="D33" s="6"/>
    </row>
    <row r="34" customFormat="false" ht="15" hidden="false" customHeight="true" outlineLevel="0" collapsed="false">
      <c r="B34" s="6"/>
      <c r="D34" s="6"/>
    </row>
    <row r="35" customFormat="false" ht="15" hidden="false" customHeight="true" outlineLevel="0" collapsed="false">
      <c r="B35" s="6"/>
      <c r="D35" s="6"/>
    </row>
    <row r="36" customFormat="false" ht="15" hidden="false" customHeight="true" outlineLevel="0" collapsed="false">
      <c r="B36" s="6"/>
      <c r="D36" s="6"/>
    </row>
    <row r="37" customFormat="false" ht="15" hidden="false" customHeight="true" outlineLevel="0" collapsed="false">
      <c r="B37" s="6"/>
      <c r="D37" s="6"/>
    </row>
    <row r="38" customFormat="false" ht="15" hidden="false" customHeight="true" outlineLevel="0" collapsed="false">
      <c r="B38" s="6"/>
      <c r="D38" s="6"/>
    </row>
    <row r="39" customFormat="false" ht="21.75" hidden="false" customHeight="true" outlineLevel="0" collapsed="false">
      <c r="B39" s="123" t="s">
        <v>222</v>
      </c>
      <c r="C39" s="123"/>
      <c r="D39" s="123"/>
      <c r="E39" s="123"/>
      <c r="F39" s="123"/>
      <c r="G39" s="123"/>
      <c r="H39" s="123"/>
      <c r="I39" s="123"/>
      <c r="J39" s="123"/>
      <c r="K39" s="123"/>
    </row>
    <row r="40" customFormat="false" ht="141" hidden="false" customHeight="true" outlineLevel="0" collapsed="false">
      <c r="B40" s="124" t="str">
        <f aca="false">"1. GROUP OVERHEAD CENTRALIZED — Total $"&amp;TEXT('Master Cost'!C55/1000,"#,##0")&amp;"K consolidating: Corporate Functions $"&amp;TEXT('Group OpEx'!C13/1000,"#,##0")&amp;"K (CEO/Finance/Marketing/Admin), Facility &amp; Physical Plant $"&amp;TEXT('Group OpEx'!C21/1000,"#,##0")&amp;"K (Rent/Utilities/Security), Transaction &amp; Parent Fees $"&amp;TEXT('Group OpEx'!C28/1000,"#,##0")&amp;"K (Payment Processing/Franchise/Management). See Master OpEx tab for full breakdown."</f>
        <v>1. GROUP OVERHEAD CENTRALIZED — Total $1,762K consolidating: Corporate Functions $451K (CEO/Finance/Marketing/Admin), Facility &amp; Physical Plant $880K (Rent/Utilities/Security), Transaction &amp; Parent Fees $430K (Payment Processing/Franchise/Management). See Master OpEx tab for full breakdown.</v>
      </c>
      <c r="D40" s="6"/>
    </row>
    <row r="41" customFormat="false" ht="15" hidden="false" customHeight="true" outlineLevel="0" collapsed="false">
      <c r="B41" s="6"/>
      <c r="D41" s="6"/>
    </row>
    <row r="42" customFormat="false" ht="15" hidden="false" customHeight="true" outlineLevel="0" collapsed="false">
      <c r="B42" s="6"/>
      <c r="D42" s="6"/>
    </row>
    <row r="43" customFormat="false" ht="15" hidden="false" customHeight="true" outlineLevel="0" collapsed="false">
      <c r="B43" s="6"/>
      <c r="D43" s="6"/>
    </row>
    <row r="44" customFormat="false" ht="15" hidden="false" customHeight="true" outlineLevel="0" collapsed="false">
      <c r="B44" s="6"/>
      <c r="D44" s="6"/>
    </row>
    <row r="45" customFormat="false" ht="15" hidden="false" customHeight="true" outlineLevel="0" collapsed="false">
      <c r="B45" s="6"/>
      <c r="D45" s="6"/>
    </row>
    <row r="46" customFormat="false" ht="33.75" hidden="false" customHeight="true" outlineLevel="0" collapsed="false">
      <c r="B46" s="125" t="s">
        <v>223</v>
      </c>
      <c r="C46" s="125"/>
      <c r="D46" s="125"/>
      <c r="E46" s="125"/>
      <c r="F46" s="125"/>
      <c r="G46" s="125"/>
      <c r="H46" s="125"/>
      <c r="I46" s="125"/>
      <c r="J46" s="125"/>
      <c r="K46" s="125"/>
    </row>
    <row r="47" customFormat="false" ht="19.5" hidden="false" customHeight="true" outlineLevel="0" collapsed="false">
      <c r="B47" s="97" t="s">
        <v>206</v>
      </c>
      <c r="C47" s="98" t="s">
        <v>224</v>
      </c>
      <c r="D47" s="97" t="s">
        <v>225</v>
      </c>
    </row>
    <row r="48" customFormat="false" ht="18" hidden="false" customHeight="true" outlineLevel="0" collapsed="false">
      <c r="B48" s="126" t="s">
        <v>226</v>
      </c>
      <c r="C48" s="127" t="n">
        <f aca="false">E26</f>
        <v>4022722.921025</v>
      </c>
      <c r="D48" s="128" t="s">
        <v>227</v>
      </c>
    </row>
    <row r="49" customFormat="false" ht="18" hidden="false" customHeight="true" outlineLevel="0" collapsed="false">
      <c r="B49" s="126" t="s">
        <v>228</v>
      </c>
      <c r="C49" s="129" t="n">
        <f aca="false">-'Master Cost'!C55</f>
        <v>-1761550.6645</v>
      </c>
      <c r="D49" s="128" t="s">
        <v>229</v>
      </c>
    </row>
    <row r="50" customFormat="false" ht="27.75" hidden="false" customHeight="true" outlineLevel="0" collapsed="false">
      <c r="B50" s="91" t="s">
        <v>230</v>
      </c>
      <c r="C50" s="130" t="n">
        <f aca="false">C48+C49</f>
        <v>2261172.256525</v>
      </c>
      <c r="D50" s="131" t="s">
        <v>231</v>
      </c>
    </row>
    <row r="51" customFormat="false" ht="25.5" hidden="false" customHeight="true" outlineLevel="0" collapsed="false">
      <c r="B51" s="117" t="s">
        <v>232</v>
      </c>
      <c r="C51" s="132" t="n">
        <f aca="false">C50/C12</f>
        <v>0.338903589599894</v>
      </c>
      <c r="D51" s="128" t="s">
        <v>233</v>
      </c>
    </row>
    <row r="52" customFormat="false" ht="15" hidden="false" customHeight="true" outlineLevel="0" collapsed="false">
      <c r="B52" s="6"/>
      <c r="D52" s="6"/>
    </row>
    <row r="53" customFormat="false" ht="33.75" hidden="false" customHeight="true" outlineLevel="0" collapsed="false">
      <c r="B53" s="51" t="s">
        <v>234</v>
      </c>
      <c r="C53" s="51"/>
      <c r="D53" s="51"/>
      <c r="E53" s="51"/>
      <c r="F53" s="51"/>
    </row>
    <row r="54" customFormat="false" ht="21.75" hidden="false" customHeight="true" outlineLevel="0" collapsed="false">
      <c r="B54" s="113" t="s">
        <v>235</v>
      </c>
      <c r="C54" s="133" t="n">
        <f aca="false">CapEx!E54</f>
        <v>28280000</v>
      </c>
      <c r="D54" s="134" t="s">
        <v>236</v>
      </c>
      <c r="E54" s="134"/>
      <c r="F54" s="134"/>
    </row>
    <row r="55" customFormat="false" ht="21.75" hidden="false" customHeight="true" outlineLevel="0" collapsed="false">
      <c r="B55" s="126" t="s">
        <v>237</v>
      </c>
      <c r="C55" s="133" t="n">
        <f aca="false">CapEx!E54-CapEx!D70</f>
        <v>20460000</v>
      </c>
      <c r="D55" s="134" t="s">
        <v>238</v>
      </c>
      <c r="E55" s="134"/>
      <c r="F55" s="134"/>
    </row>
    <row r="56" customFormat="false" ht="21.75" hidden="false" customHeight="true" outlineLevel="0" collapsed="false">
      <c r="B56" s="113" t="s">
        <v>239</v>
      </c>
      <c r="C56" s="133" t="n">
        <f aca="false">CapEx!D70</f>
        <v>7820000</v>
      </c>
      <c r="D56" s="134" t="s">
        <v>240</v>
      </c>
      <c r="E56" s="134"/>
      <c r="F56" s="134"/>
    </row>
    <row r="57" customFormat="false" ht="36" hidden="false" customHeight="true" outlineLevel="0" collapsed="false">
      <c r="B57" s="113" t="s">
        <v>241</v>
      </c>
      <c r="C57" s="135" t="n">
        <f aca="false">MASTER_ASSUMPTIONS!C15</f>
        <v>0.449999994245524</v>
      </c>
      <c r="D57" s="128" t="str">
        <f aca="false">"⊙ Investor takes "&amp;TEXT(MASTER_ASSUMPTIONS!C15,"0.0%")&amp;" of Pixoul Morocco SARL"</f>
        <v>⊙ Investor takes 45.0% of Pixoul Morocco SARL</v>
      </c>
    </row>
    <row r="58" customFormat="false" ht="21.75" hidden="false" customHeight="true" outlineLevel="0" collapsed="false">
      <c r="B58" s="113" t="s">
        <v>242</v>
      </c>
      <c r="C58" s="133" t="n">
        <f aca="false">CapEx!D70/MASTER_ASSUMPTIONS!$C$15-CapEx!D70</f>
        <v>9557778</v>
      </c>
      <c r="D58" s="134" t="s">
        <v>243</v>
      </c>
      <c r="E58" s="134"/>
      <c r="F58" s="134"/>
    </row>
    <row r="59" customFormat="false" ht="21.75" hidden="false" customHeight="true" outlineLevel="0" collapsed="false">
      <c r="B59" s="113" t="s">
        <v>244</v>
      </c>
      <c r="C59" s="133" t="n">
        <f aca="false">CapEx!D70/MASTER_ASSUMPTIONS!$C$15</f>
        <v>17377778</v>
      </c>
      <c r="D59" s="134" t="s">
        <v>245</v>
      </c>
      <c r="E59" s="134"/>
      <c r="F59" s="134"/>
    </row>
    <row r="60" customFormat="false" ht="36" hidden="false" customHeight="true" outlineLevel="0" collapsed="false">
      <c r="B60" s="126" t="s">
        <v>246</v>
      </c>
      <c r="C60" s="136" t="n">
        <f aca="false">MASTER_ASSUMPTIONS!C14/'Master OpEx'!D30</f>
        <v>7.68529595649046</v>
      </c>
      <c r="D60" s="128" t="str">
        <f aca="false">"⊙ $"&amp;TEXT(MASTER_ASSUMPTIONS!C14/1000000,"0.00")&amp;"M Round 1 post-money / Y4 Platform EBITDA"</f>
        <v>⊙ $17.38M Round 1 post-money / Y4 Platform EBITDA</v>
      </c>
    </row>
    <row r="61" customFormat="false" ht="15" hidden="false" customHeight="true" outlineLevel="0" collapsed="false">
      <c r="B61" s="6"/>
      <c r="D61" s="6"/>
    </row>
    <row r="62" customFormat="false" ht="36" hidden="false" customHeight="true" outlineLevel="0" collapsed="false">
      <c r="B62" s="137" t="s">
        <v>247</v>
      </c>
      <c r="D62" s="6"/>
    </row>
    <row r="63" customFormat="false" ht="36" hidden="false" customHeight="true" outlineLevel="0" collapsed="false">
      <c r="B63" s="113" t="s">
        <v>248</v>
      </c>
      <c r="C63" s="133" t="n">
        <f aca="false">MASTER_ASSUMPTIONS!C26</f>
        <v>34549629.9942212</v>
      </c>
      <c r="D63" s="128" t="str">
        <f aca="false">"⊙ $"&amp;TEXT(MASTER_ASSUMPTIONS!C26/1000000,"0")&amp;"M total exit valuation at Y3 (2029) BVC IPO + Strategic Anchor"</f>
        <v>⊙ $35M total exit valuation at Y3 (2029) BVC IPO + Strategic Anchor</v>
      </c>
    </row>
    <row r="64" customFormat="false" ht="36" hidden="false" customHeight="true" outlineLevel="0" collapsed="false">
      <c r="B64" s="126" t="str">
        <f aca="false">"Investor "&amp;TEXT(MASTER_ASSUMPTIONS!C15,"0.0%")&amp;" share at Y7 exit (Base 8× EBITDA)"</f>
        <v>Investor 45.0% share at Y7 exit (Base 8× EBITDA)</v>
      </c>
      <c r="C64" s="133" t="n">
        <f aca="false">'Exit &amp; Returns'!E53</f>
        <v>8793442.65617192</v>
      </c>
      <c r="D64" s="128" t="str">
        <f aca="false">"⊙ Y7 exit × "&amp;TEXT(MASTER_ASSUMPTIONS!C15,"0.0%")&amp;" equity"</f>
        <v>⊙ Y7 exit × 45.0% equity</v>
      </c>
    </row>
    <row r="65" customFormat="false" ht="36" hidden="false" customHeight="true" outlineLevel="0" collapsed="false">
      <c r="B65" s="126" t="s">
        <v>249</v>
      </c>
      <c r="C65" s="133" t="n">
        <f aca="false">MASTER_ASSUMPTIONS!C19</f>
        <v>20000000</v>
      </c>
      <c r="D65" s="128" t="s">
        <v>250</v>
      </c>
    </row>
    <row r="66" customFormat="false" ht="21.75" hidden="false" customHeight="true" outlineLevel="0" collapsed="false">
      <c r="B66" s="126" t="s">
        <v>251</v>
      </c>
      <c r="C66" s="136" t="n">
        <f aca="false">DEAL_ARCHITECTURE!D35</f>
        <v>1.94197328494566</v>
      </c>
      <c r="D66" s="134" t="s">
        <v>252</v>
      </c>
      <c r="E66" s="134"/>
      <c r="F66" s="134"/>
    </row>
    <row r="67" customFormat="false" ht="21.75" hidden="false" customHeight="true" outlineLevel="0" collapsed="false">
      <c r="B67" s="126" t="s">
        <v>253</v>
      </c>
      <c r="C67" s="138" t="n">
        <f aca="false">DEAL_ARCHITECTURE!D36</f>
        <v>0.20880212451708</v>
      </c>
      <c r="D67" s="134" t="s">
        <v>254</v>
      </c>
      <c r="E67" s="134"/>
      <c r="F67" s="134"/>
    </row>
    <row r="68" customFormat="false" ht="21.75" hidden="false" customHeight="true" outlineLevel="0" collapsed="false">
      <c r="B68" s="113" t="s">
        <v>255</v>
      </c>
      <c r="C68" s="138" t="n">
        <f aca="false">'Exit &amp; Returns'!I53</f>
        <v>0.0569792959174404</v>
      </c>
      <c r="D68" s="134" t="s">
        <v>256</v>
      </c>
      <c r="E68" s="134"/>
      <c r="F68" s="134"/>
    </row>
    <row r="69" customFormat="false" ht="21.75" hidden="false" customHeight="true" outlineLevel="0" collapsed="false">
      <c r="B69" s="113" t="s">
        <v>257</v>
      </c>
      <c r="C69" s="133" t="n">
        <f aca="false">'Probability Scenarios'!C45</f>
        <v>-4088229.88717061</v>
      </c>
      <c r="D69" s="134" t="s">
        <v>258</v>
      </c>
      <c r="E69" s="134"/>
      <c r="F69" s="134"/>
    </row>
    <row r="72" customFormat="false" ht="21.75" hidden="false" customHeight="true" outlineLevel="0" collapsed="false">
      <c r="B72" s="139" t="s">
        <v>259</v>
      </c>
      <c r="C72" s="139"/>
      <c r="D72" s="139"/>
      <c r="E72" s="139"/>
      <c r="F72" s="139"/>
      <c r="G72" s="139"/>
      <c r="H72" s="139"/>
    </row>
    <row r="74" customFormat="false" ht="21.75" hidden="false" customHeight="true" outlineLevel="0" collapsed="false">
      <c r="B74" s="140" t="s">
        <v>260</v>
      </c>
      <c r="C74" s="140"/>
      <c r="D74" s="140"/>
      <c r="E74" s="140"/>
      <c r="F74" s="140"/>
      <c r="G74" s="140"/>
      <c r="H74" s="140"/>
    </row>
    <row r="75" customFormat="false" ht="18" hidden="false" customHeight="true" outlineLevel="0" collapsed="false">
      <c r="B75" s="141" t="s">
        <v>261</v>
      </c>
      <c r="C75" s="142" t="n">
        <f aca="false">MASTER_ASSUMPTIONS!$C$13</f>
        <v>7820000</v>
      </c>
    </row>
    <row r="76" customFormat="false" ht="18" hidden="false" customHeight="true" outlineLevel="0" collapsed="false">
      <c r="B76" s="143" t="s">
        <v>262</v>
      </c>
      <c r="C76" s="144" t="n">
        <f aca="false">MASTER_ASSUMPTIONS!$C$15</f>
        <v>0.449999994245524</v>
      </c>
    </row>
    <row r="77" customFormat="false" ht="18" hidden="false" customHeight="true" outlineLevel="0" collapsed="false">
      <c r="B77" s="145" t="s">
        <v>263</v>
      </c>
      <c r="C77" s="142" t="n">
        <f aca="false">MASTER_ASSUMPTIONS!$C$14</f>
        <v>17377778</v>
      </c>
    </row>
    <row r="78" customFormat="false" ht="18" hidden="false" customHeight="true" outlineLevel="0" collapsed="false">
      <c r="B78" s="143" t="s">
        <v>264</v>
      </c>
      <c r="C78" s="142" t="n">
        <f aca="false">MASTER_ASSUMPTIONS!$C$41</f>
        <v>28280000</v>
      </c>
    </row>
    <row r="79" customFormat="false" ht="18" hidden="false" customHeight="true" outlineLevel="0" collapsed="false">
      <c r="B79" s="143" t="s">
        <v>265</v>
      </c>
      <c r="C79" s="142" t="n">
        <f aca="false">MASTER_ASSUMPTIONS!$C$42</f>
        <v>19090000</v>
      </c>
    </row>
    <row r="80" customFormat="false" ht="18" hidden="false" customHeight="true" outlineLevel="0" collapsed="false">
      <c r="B80" s="143" t="s">
        <v>266</v>
      </c>
      <c r="C80" s="142" t="n">
        <f aca="false">MASTER_ASSUMPTIONS!$C$26</f>
        <v>34549629.9942212</v>
      </c>
    </row>
    <row r="81" customFormat="false" ht="19.5" hidden="false" customHeight="true" outlineLevel="0" collapsed="false">
      <c r="B81" s="143"/>
      <c r="C81" s="142"/>
    </row>
    <row r="82" customFormat="false" ht="21.75" hidden="false" customHeight="true" outlineLevel="0" collapsed="false">
      <c r="B82" s="140" t="s">
        <v>267</v>
      </c>
      <c r="C82" s="140"/>
      <c r="D82" s="140"/>
      <c r="E82" s="140"/>
      <c r="F82" s="140"/>
      <c r="G82" s="140"/>
      <c r="H82" s="140"/>
    </row>
    <row r="83" customFormat="false" ht="21.75" hidden="false" customHeight="true" outlineLevel="0" collapsed="false">
      <c r="B83" s="146" t="s">
        <v>206</v>
      </c>
      <c r="C83" s="146" t="s">
        <v>268</v>
      </c>
      <c r="D83" s="146" t="s">
        <v>269</v>
      </c>
      <c r="E83" s="146" t="s">
        <v>270</v>
      </c>
    </row>
    <row r="84" customFormat="false" ht="18" hidden="false" customHeight="true" outlineLevel="0" collapsed="false">
      <c r="B84" s="146" t="s">
        <v>271</v>
      </c>
      <c r="C84" s="147" t="n">
        <f aca="false">KPI_DASHBOARD!$C$13-(SUM(KPI_DASHBOARD!$D$21:$E$21)*MASTER_ASSUMPTIONS!$C$73)/MASTER_ASSUMPTIONS!$C$13</f>
        <v>1.92817773885333</v>
      </c>
      <c r="D84" s="147" t="n">
        <f aca="false">E84-C84</f>
        <v>0.0137955460923289</v>
      </c>
      <c r="E84" s="148" t="n">
        <f aca="false">KPI_DASHBOARD!$C$13</f>
        <v>1.94197328494566</v>
      </c>
    </row>
    <row r="85" customFormat="false" ht="18" hidden="false" customHeight="true" outlineLevel="0" collapsed="false">
      <c r="B85" s="146" t="s">
        <v>272</v>
      </c>
      <c r="C85" s="149" t="n">
        <f aca="false">C84^(1/3.5)-1</f>
        <v>0.206342392739043</v>
      </c>
      <c r="D85" s="144" t="n">
        <f aca="false">E85-C85</f>
        <v>0.00245973177803638</v>
      </c>
      <c r="E85" s="149" t="n">
        <f aca="false">E84^(1/3.5)-1</f>
        <v>0.20880212451708</v>
      </c>
    </row>
    <row r="86" customFormat="false" ht="18" hidden="false" customHeight="true" outlineLevel="0" collapsed="false">
      <c r="B86" s="146" t="s">
        <v>273</v>
      </c>
      <c r="C86" s="149" t="n">
        <f aca="false">C84-1</f>
        <v>0.928177738853331</v>
      </c>
      <c r="D86" s="144" t="n">
        <f aca="false">E86-C86</f>
        <v>0.0137955460923289</v>
      </c>
      <c r="E86" s="144" t="n">
        <f aca="false">E84-1</f>
        <v>0.94197328494566</v>
      </c>
    </row>
    <row r="87" customFormat="false" ht="18" hidden="false" customHeight="true" outlineLevel="0" collapsed="false">
      <c r="B87" s="143" t="s">
        <v>274</v>
      </c>
      <c r="C87" s="150" t="n">
        <v>3</v>
      </c>
      <c r="D87" s="150" t="n">
        <v>0</v>
      </c>
      <c r="E87" s="150" t="n">
        <v>3</v>
      </c>
    </row>
    <row r="88" customFormat="false" ht="18" hidden="false" customHeight="true" outlineLevel="0" collapsed="false">
      <c r="B88" s="143" t="s">
        <v>275</v>
      </c>
      <c r="C88" s="144" t="n">
        <f aca="false">KPI_DASHBOARD!$C$23</f>
        <v>0.155580614181487</v>
      </c>
    </row>
    <row r="89" customFormat="false" ht="15" hidden="false" customHeight="true" outlineLevel="0" collapsed="false">
      <c r="B89" s="143"/>
    </row>
    <row r="90" customFormat="false" ht="21.75" hidden="false" customHeight="true" outlineLevel="0" collapsed="false">
      <c r="B90" s="140" t="s">
        <v>276</v>
      </c>
      <c r="C90" s="140"/>
      <c r="D90" s="140"/>
      <c r="E90" s="140"/>
      <c r="F90" s="140"/>
      <c r="G90" s="140"/>
      <c r="H90" s="140"/>
    </row>
    <row r="91" customFormat="false" ht="19.5" hidden="false" customHeight="true" outlineLevel="0" collapsed="false">
      <c r="B91" s="143" t="s">
        <v>277</v>
      </c>
      <c r="C91" s="142" t="n">
        <f aca="false">SUMPRODUCT(('Consolidated 8Yr P&amp;L'!C45:G45&gt;0)*'Consolidated 8Yr P&amp;L'!C45:G45)*UNIVERSAL_DRIVERS!$C$11</f>
        <v>41163.1899189945</v>
      </c>
    </row>
    <row r="92" customFormat="false" ht="19.5" hidden="false" customHeight="true" outlineLevel="0" collapsed="false">
      <c r="B92" s="145" t="s">
        <v>278</v>
      </c>
      <c r="C92" s="142" t="n">
        <f aca="false">MASTER_ASSUMPTIONS!$C$75*1725000*4.7</f>
        <v>1621500</v>
      </c>
    </row>
    <row r="93" customFormat="false" ht="19.5" hidden="false" customHeight="true" outlineLevel="0" collapsed="false">
      <c r="B93" s="143" t="s">
        <v>279</v>
      </c>
      <c r="C93" s="142" t="n">
        <f aca="false">SUM(KPI_DASHBOARD!$D$21:$E$21)*MASTER_ASSUMPTIONS!$C$73</f>
        <v>107881.170442012</v>
      </c>
    </row>
    <row r="94" customFormat="false" ht="19.5" hidden="false" customHeight="true" outlineLevel="0" collapsed="false">
      <c r="B94" s="146" t="s">
        <v>280</v>
      </c>
      <c r="C94" s="151" t="n">
        <f aca="false">MASTER_ASSUMPTIONS!$C$76*MASTER_ASSUMPTIONS!$C$41</f>
        <v>4242000</v>
      </c>
      <c r="D94" s="152"/>
      <c r="E94" s="153"/>
    </row>
    <row r="95" customFormat="false" ht="19.5" hidden="false" customHeight="true" outlineLevel="0" collapsed="false">
      <c r="B95" s="146" t="s">
        <v>281</v>
      </c>
      <c r="C95" s="151" t="n">
        <f aca="false">SUM(C91:C94)</f>
        <v>6012544.36036101</v>
      </c>
      <c r="D95" s="144"/>
      <c r="E95" s="149"/>
    </row>
    <row r="96" customFormat="false" ht="19.5" hidden="false" customHeight="true" outlineLevel="0" collapsed="false">
      <c r="B96" s="146" t="s">
        <v>282</v>
      </c>
      <c r="C96" s="151" t="n">
        <f aca="false">C95*MASTER_ASSUMPTIONS!$C$15</f>
        <v>2705644.92756341</v>
      </c>
      <c r="D96" s="144"/>
      <c r="E96" s="149"/>
    </row>
    <row r="97" customFormat="false" ht="19.5" hidden="false" customHeight="true" outlineLevel="0" collapsed="false">
      <c r="B97" s="146"/>
      <c r="C97" s="149"/>
    </row>
    <row r="98" customFormat="false" ht="21.75" hidden="false" customHeight="true" outlineLevel="0" collapsed="false">
      <c r="B98" s="154" t="s">
        <v>283</v>
      </c>
      <c r="C98" s="154"/>
      <c r="D98" s="154"/>
      <c r="E98" s="154"/>
      <c r="F98" s="154"/>
      <c r="G98" s="154"/>
      <c r="H98" s="154"/>
    </row>
    <row r="99" customFormat="false" ht="18" hidden="false" customHeight="true" outlineLevel="0" collapsed="false">
      <c r="B99" s="154" t="s">
        <v>284</v>
      </c>
      <c r="C99" s="154"/>
      <c r="D99" s="154"/>
      <c r="E99" s="154"/>
      <c r="F99" s="154"/>
      <c r="G99" s="154"/>
      <c r="H99" s="154"/>
    </row>
    <row r="100" customFormat="false" ht="18" hidden="false" customHeight="true" outlineLevel="0" collapsed="false">
      <c r="B100" s="154" t="s">
        <v>285</v>
      </c>
      <c r="C100" s="154"/>
      <c r="D100" s="154"/>
      <c r="E100" s="154"/>
      <c r="F100" s="154"/>
      <c r="G100" s="154"/>
      <c r="H100" s="154"/>
    </row>
    <row r="101" customFormat="false" ht="18" hidden="false" customHeight="true" outlineLevel="0" collapsed="false">
      <c r="B101" s="154" t="s">
        <v>286</v>
      </c>
      <c r="C101" s="154"/>
      <c r="D101" s="154"/>
      <c r="E101" s="154"/>
      <c r="F101" s="154"/>
      <c r="G101" s="154"/>
      <c r="H101" s="154"/>
    </row>
    <row r="102" customFormat="false" ht="18" hidden="false" customHeight="true" outlineLevel="0" collapsed="false">
      <c r="B102" s="154" t="s">
        <v>287</v>
      </c>
      <c r="C102" s="154"/>
      <c r="D102" s="154"/>
      <c r="E102" s="154"/>
      <c r="F102" s="154"/>
      <c r="G102" s="154"/>
      <c r="H102" s="154"/>
    </row>
    <row r="103" customFormat="false" ht="18" hidden="false" customHeight="true" outlineLevel="0" collapsed="false">
      <c r="B103" s="154" t="s">
        <v>288</v>
      </c>
      <c r="C103" s="154"/>
      <c r="D103" s="154"/>
      <c r="E103" s="154"/>
      <c r="F103" s="154"/>
      <c r="G103" s="154"/>
      <c r="H103" s="154"/>
    </row>
    <row r="104" customFormat="false" ht="18" hidden="false" customHeight="true" outlineLevel="0" collapsed="false">
      <c r="B104" s="154" t="s">
        <v>289</v>
      </c>
      <c r="C104" s="154"/>
      <c r="D104" s="154"/>
      <c r="E104" s="154"/>
      <c r="F104" s="154"/>
      <c r="G104" s="154"/>
      <c r="H104" s="154"/>
    </row>
    <row r="105" customFormat="false" ht="18" hidden="false" customHeight="true" outlineLevel="0" collapsed="false">
      <c r="B105" s="154" t="s">
        <v>290</v>
      </c>
      <c r="C105" s="154"/>
      <c r="D105" s="154"/>
      <c r="E105" s="154"/>
      <c r="F105" s="154"/>
      <c r="G105" s="154"/>
      <c r="H105" s="154"/>
    </row>
    <row r="106" customFormat="false" ht="18" hidden="false" customHeight="true" outlineLevel="0" collapsed="false">
      <c r="B106" s="154" t="s">
        <v>291</v>
      </c>
      <c r="C106" s="154"/>
      <c r="D106" s="154"/>
      <c r="E106" s="154"/>
      <c r="F106" s="154"/>
      <c r="G106" s="154"/>
      <c r="H106" s="154"/>
    </row>
    <row r="107" customFormat="false" ht="18" hidden="false" customHeight="true" outlineLevel="0" collapsed="false">
      <c r="B107" s="154" t="s">
        <v>292</v>
      </c>
      <c r="C107" s="154"/>
      <c r="D107" s="154"/>
      <c r="E107" s="154"/>
      <c r="F107" s="154"/>
      <c r="G107" s="154"/>
      <c r="H107" s="154"/>
    </row>
    <row r="108" customFormat="false" ht="18" hidden="false" customHeight="true" outlineLevel="0" collapsed="false">
      <c r="B108" s="154" t="s">
        <v>293</v>
      </c>
      <c r="C108" s="154"/>
      <c r="D108" s="154"/>
      <c r="E108" s="154"/>
      <c r="F108" s="154"/>
      <c r="G108" s="154"/>
      <c r="H108" s="154"/>
    </row>
    <row r="109" customFormat="false" ht="18" hidden="false" customHeight="true" outlineLevel="0" collapsed="false">
      <c r="B109" s="154" t="s">
        <v>294</v>
      </c>
      <c r="C109" s="154"/>
      <c r="D109" s="154"/>
      <c r="E109" s="154"/>
      <c r="F109" s="154"/>
      <c r="G109" s="154"/>
      <c r="H109" s="154"/>
    </row>
  </sheetData>
  <mergeCells count="37">
    <mergeCell ref="B2:G2"/>
    <mergeCell ref="H2:K2"/>
    <mergeCell ref="B3:K3"/>
    <mergeCell ref="B5:K5"/>
    <mergeCell ref="B9:N9"/>
    <mergeCell ref="B10:K10"/>
    <mergeCell ref="D13:F13"/>
    <mergeCell ref="B15:K15"/>
    <mergeCell ref="B29:K29"/>
    <mergeCell ref="B39:K39"/>
    <mergeCell ref="B46:K46"/>
    <mergeCell ref="B53:F53"/>
    <mergeCell ref="D54:F54"/>
    <mergeCell ref="D55:F55"/>
    <mergeCell ref="D56:F56"/>
    <mergeCell ref="D58:F58"/>
    <mergeCell ref="D59:F59"/>
    <mergeCell ref="D66:F66"/>
    <mergeCell ref="D67:F67"/>
    <mergeCell ref="D68:F68"/>
    <mergeCell ref="D69:F69"/>
    <mergeCell ref="B72:H72"/>
    <mergeCell ref="B74:H74"/>
    <mergeCell ref="B82:H82"/>
    <mergeCell ref="B90:H90"/>
    <mergeCell ref="B98:H98"/>
    <mergeCell ref="B99:H99"/>
    <mergeCell ref="B100:H100"/>
    <mergeCell ref="B101:H101"/>
    <mergeCell ref="B102:H102"/>
    <mergeCell ref="B103:H103"/>
    <mergeCell ref="B104:H104"/>
    <mergeCell ref="B105:H105"/>
    <mergeCell ref="B106:H106"/>
    <mergeCell ref="B107:H107"/>
    <mergeCell ref="B108:H108"/>
    <mergeCell ref="B109:H10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2:L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2"/>
  </cols>
  <sheetData>
    <row r="2" customFormat="false" ht="27.75" hidden="false" customHeight="true" outlineLevel="0" collapsed="false">
      <c r="B2" s="628" t="s">
        <v>2221</v>
      </c>
      <c r="C2" s="628"/>
      <c r="D2" s="628"/>
      <c r="E2" s="628"/>
      <c r="F2" s="628"/>
      <c r="G2" s="628"/>
      <c r="H2" s="628"/>
      <c r="I2" s="628"/>
      <c r="J2" s="628"/>
      <c r="K2" s="628"/>
      <c r="L2" s="628"/>
    </row>
    <row r="3" customFormat="false" ht="19.5" hidden="false" customHeight="true" outlineLevel="0" collapsed="false">
      <c r="B3" s="629" t="s">
        <v>2222</v>
      </c>
      <c r="C3" s="629"/>
      <c r="D3" s="629"/>
      <c r="E3" s="629"/>
      <c r="F3" s="629"/>
      <c r="G3" s="629"/>
      <c r="H3" s="629"/>
      <c r="I3" s="629"/>
      <c r="J3" s="629"/>
      <c r="K3" s="629"/>
      <c r="L3" s="629"/>
    </row>
    <row r="6" customFormat="false" ht="21.75" hidden="false" customHeight="true" outlineLevel="0" collapsed="false">
      <c r="B6" s="551" t="s">
        <v>1141</v>
      </c>
      <c r="C6" s="98" t="s">
        <v>760</v>
      </c>
      <c r="D6" s="98" t="s">
        <v>908</v>
      </c>
      <c r="E6" s="98" t="s">
        <v>765</v>
      </c>
      <c r="F6" s="98" t="s">
        <v>770</v>
      </c>
      <c r="G6" s="98" t="s">
        <v>909</v>
      </c>
      <c r="H6" s="98" t="s">
        <v>910</v>
      </c>
      <c r="I6" s="98" t="s">
        <v>911</v>
      </c>
      <c r="J6" s="98" t="s">
        <v>912</v>
      </c>
      <c r="K6" s="98" t="s">
        <v>1200</v>
      </c>
      <c r="L6" s="98" t="s">
        <v>1201</v>
      </c>
    </row>
    <row r="8" customFormat="false" ht="19.5" hidden="false" customHeight="true" outlineLevel="0" collapsed="false">
      <c r="B8" s="629" t="s">
        <v>2223</v>
      </c>
      <c r="C8" s="629"/>
      <c r="D8" s="629"/>
      <c r="E8" s="629"/>
      <c r="F8" s="629"/>
      <c r="G8" s="629"/>
      <c r="H8" s="629"/>
      <c r="I8" s="629"/>
      <c r="J8" s="629"/>
      <c r="K8" s="629"/>
      <c r="L8" s="629"/>
    </row>
    <row r="10" customFormat="false" ht="15" hidden="false" customHeight="true" outlineLevel="0" collapsed="false">
      <c r="B10" s="656" t="s">
        <v>2224</v>
      </c>
      <c r="C10" s="657" t="n">
        <f aca="false">CapEx!E11</f>
        <v>9190000</v>
      </c>
    </row>
    <row r="11" customFormat="false" ht="15" hidden="false" customHeight="true" outlineLevel="0" collapsed="false">
      <c r="B11" s="656" t="s">
        <v>2225</v>
      </c>
      <c r="C11" s="142" t="n">
        <f aca="false">CapEx!E17</f>
        <v>3950000</v>
      </c>
    </row>
    <row r="12" customFormat="false" ht="15" hidden="false" customHeight="true" outlineLevel="0" collapsed="false">
      <c r="B12" s="656" t="s">
        <v>2226</v>
      </c>
      <c r="C12" s="142" t="n">
        <f aca="false">CapEx!E22</f>
        <v>5880000</v>
      </c>
    </row>
    <row r="13" customFormat="false" ht="15" hidden="false" customHeight="true" outlineLevel="0" collapsed="false">
      <c r="B13" s="656" t="s">
        <v>2227</v>
      </c>
      <c r="C13" s="142" t="n">
        <f aca="false">CapEx!E34</f>
        <v>4860000</v>
      </c>
    </row>
    <row r="14" customFormat="false" ht="15" hidden="false" customHeight="true" outlineLevel="0" collapsed="false">
      <c r="B14" s="656" t="s">
        <v>2228</v>
      </c>
      <c r="C14" s="142" t="n">
        <f aca="false">CapEx!E43</f>
        <v>1250000</v>
      </c>
    </row>
    <row r="15" customFormat="false" ht="15" hidden="false" customHeight="true" outlineLevel="0" collapsed="false">
      <c r="B15" s="658" t="s">
        <v>2229</v>
      </c>
      <c r="C15" s="142" t="n">
        <f aca="false">CapEx!E53</f>
        <v>3150000</v>
      </c>
    </row>
    <row r="17" customFormat="false" ht="19.5" hidden="false" customHeight="true" outlineLevel="0" collapsed="false">
      <c r="B17" s="629" t="s">
        <v>2230</v>
      </c>
      <c r="C17" s="629"/>
      <c r="D17" s="629"/>
      <c r="E17" s="629"/>
      <c r="F17" s="629"/>
      <c r="G17" s="629"/>
      <c r="H17" s="629"/>
      <c r="I17" s="629"/>
      <c r="J17" s="629"/>
      <c r="K17" s="629"/>
      <c r="L17" s="629"/>
    </row>
    <row r="18" customFormat="false" ht="15" hidden="false" customHeight="true" outlineLevel="0" collapsed="false">
      <c r="B18" s="570" t="s">
        <v>2231</v>
      </c>
      <c r="C18" s="357" t="n">
        <f aca="false">$C$10/10</f>
        <v>919000</v>
      </c>
      <c r="D18" s="357" t="n">
        <f aca="false">$C$10/10</f>
        <v>919000</v>
      </c>
      <c r="E18" s="357" t="n">
        <f aca="false">$C$10/10</f>
        <v>919000</v>
      </c>
      <c r="F18" s="357" t="n">
        <f aca="false">$C$10/10</f>
        <v>919000</v>
      </c>
      <c r="G18" s="357" t="n">
        <f aca="false">$C$10/10</f>
        <v>919000</v>
      </c>
      <c r="H18" s="357" t="n">
        <f aca="false">$C$10/10</f>
        <v>919000</v>
      </c>
      <c r="I18" s="357" t="n">
        <f aca="false">$C$10/10</f>
        <v>919000</v>
      </c>
      <c r="J18" s="357" t="n">
        <f aca="false">$C$10/10</f>
        <v>919000</v>
      </c>
      <c r="K18" s="357" t="n">
        <f aca="false">$C$10/10</f>
        <v>919000</v>
      </c>
      <c r="L18" s="357" t="n">
        <f aca="false">$C$10/10</f>
        <v>919000</v>
      </c>
    </row>
    <row r="19" customFormat="false" ht="15" hidden="false" customHeight="true" outlineLevel="0" collapsed="false">
      <c r="B19" s="570" t="s">
        <v>2232</v>
      </c>
      <c r="C19" s="357" t="n">
        <f aca="false">$C$11/10</f>
        <v>395000</v>
      </c>
      <c r="D19" s="357" t="n">
        <f aca="false">$C$11/10</f>
        <v>395000</v>
      </c>
      <c r="E19" s="357" t="n">
        <f aca="false">$C$11/10</f>
        <v>395000</v>
      </c>
      <c r="F19" s="357" t="n">
        <f aca="false">$C$11/10</f>
        <v>395000</v>
      </c>
      <c r="G19" s="357" t="n">
        <f aca="false">$C$11/10</f>
        <v>395000</v>
      </c>
      <c r="H19" s="357" t="n">
        <f aca="false">$C$11/10</f>
        <v>395000</v>
      </c>
      <c r="I19" s="357" t="n">
        <f aca="false">$C$11/10</f>
        <v>395000</v>
      </c>
      <c r="J19" s="357" t="n">
        <f aca="false">$C$11/10</f>
        <v>395000</v>
      </c>
      <c r="K19" s="357" t="n">
        <f aca="false">$C$11/10</f>
        <v>395000</v>
      </c>
      <c r="L19" s="357" t="n">
        <f aca="false">$C$11/10</f>
        <v>395000</v>
      </c>
    </row>
    <row r="20" customFormat="false" ht="15" hidden="false" customHeight="true" outlineLevel="0" collapsed="false">
      <c r="B20" s="570" t="s">
        <v>2233</v>
      </c>
      <c r="C20" s="357" t="n">
        <f aca="false">$C$12/5</f>
        <v>1176000</v>
      </c>
      <c r="D20" s="357" t="n">
        <f aca="false">$C$12/5</f>
        <v>1176000</v>
      </c>
      <c r="E20" s="357" t="n">
        <f aca="false">$C$12/5</f>
        <v>1176000</v>
      </c>
      <c r="F20" s="357" t="n">
        <f aca="false">$C$12/5</f>
        <v>1176000</v>
      </c>
      <c r="G20" s="357" t="n">
        <f aca="false">$C$12/5</f>
        <v>1176000</v>
      </c>
      <c r="H20" s="357" t="n">
        <f aca="false">$C$12/5*0.5</f>
        <v>588000</v>
      </c>
      <c r="I20" s="357" t="n">
        <f aca="false">$C$12/5*0.5</f>
        <v>588000</v>
      </c>
      <c r="J20" s="357" t="n">
        <f aca="false">$C$12/5*0.5</f>
        <v>588000</v>
      </c>
      <c r="K20" s="357" t="n">
        <f aca="false">$C$12/5*0.5</f>
        <v>588000</v>
      </c>
      <c r="L20" s="357" t="n">
        <f aca="false">$C$12/5*0.5</f>
        <v>588000</v>
      </c>
    </row>
    <row r="21" customFormat="false" ht="15" hidden="false" customHeight="true" outlineLevel="0" collapsed="false">
      <c r="B21" s="570" t="s">
        <v>2234</v>
      </c>
      <c r="C21" s="357" t="n">
        <f aca="false">$C$13/5</f>
        <v>972000</v>
      </c>
      <c r="D21" s="357" t="n">
        <f aca="false">$C$13/5</f>
        <v>972000</v>
      </c>
      <c r="E21" s="357" t="n">
        <f aca="false">$C$13/5</f>
        <v>972000</v>
      </c>
      <c r="F21" s="357" t="n">
        <f aca="false">$C$13/5</f>
        <v>972000</v>
      </c>
      <c r="G21" s="357" t="n">
        <f aca="false">$C$13/5</f>
        <v>972000</v>
      </c>
      <c r="H21" s="357" t="n">
        <f aca="false">$C$13/5*0.5</f>
        <v>486000</v>
      </c>
      <c r="I21" s="357" t="n">
        <f aca="false">$C$13/5*0.5</f>
        <v>486000</v>
      </c>
      <c r="J21" s="357" t="n">
        <f aca="false">$C$13/5*0.5</f>
        <v>486000</v>
      </c>
      <c r="K21" s="357" t="n">
        <f aca="false">$C$13/5*0.5</f>
        <v>486000</v>
      </c>
      <c r="L21" s="357" t="n">
        <f aca="false">$C$13/5*0.5</f>
        <v>486000</v>
      </c>
    </row>
    <row r="22" customFormat="false" ht="15" hidden="false" customHeight="true" outlineLevel="0" collapsed="false">
      <c r="B22" s="570" t="s">
        <v>2235</v>
      </c>
      <c r="C22" s="357" t="n">
        <f aca="false">$C$14/3</f>
        <v>416666.666666667</v>
      </c>
      <c r="D22" s="357" t="n">
        <f aca="false">$C$14/3</f>
        <v>416666.666666667</v>
      </c>
      <c r="E22" s="357" t="n">
        <f aca="false">$C$14/3</f>
        <v>416666.666666667</v>
      </c>
      <c r="F22" s="357" t="n">
        <f aca="false">$C$14/3</f>
        <v>416666.666666667</v>
      </c>
      <c r="G22" s="357" t="n">
        <f aca="false">$C$14/3</f>
        <v>416666.666666667</v>
      </c>
      <c r="H22" s="357" t="n">
        <f aca="false">$C$14/3</f>
        <v>416666.666666667</v>
      </c>
      <c r="I22" s="357" t="n">
        <f aca="false">$C$14/3</f>
        <v>416666.666666667</v>
      </c>
      <c r="J22" s="357" t="n">
        <f aca="false">$C$14/3</f>
        <v>416666.666666667</v>
      </c>
      <c r="K22" s="357" t="n">
        <f aca="false">$C$14/3</f>
        <v>416666.666666667</v>
      </c>
      <c r="L22" s="357" t="n">
        <f aca="false">$C$14/3</f>
        <v>416666.666666667</v>
      </c>
    </row>
    <row r="23" customFormat="false" ht="15" hidden="false" customHeight="true" outlineLevel="0" collapsed="false">
      <c r="B23" s="570" t="s">
        <v>2236</v>
      </c>
      <c r="C23" s="357" t="n">
        <f aca="false">$C$15</f>
        <v>3150000</v>
      </c>
      <c r="D23" s="357" t="n">
        <v>0</v>
      </c>
      <c r="E23" s="357" t="n">
        <v>0</v>
      </c>
      <c r="F23" s="357" t="n">
        <v>0</v>
      </c>
      <c r="G23" s="357" t="n">
        <v>0</v>
      </c>
      <c r="H23" s="357" t="n">
        <v>0</v>
      </c>
      <c r="I23" s="357" t="n">
        <v>0</v>
      </c>
      <c r="J23" s="357" t="n">
        <v>0</v>
      </c>
      <c r="K23" s="357" t="n">
        <v>0</v>
      </c>
      <c r="L23" s="357" t="n">
        <v>0</v>
      </c>
    </row>
    <row r="25" customFormat="false" ht="15" hidden="false" customHeight="true" outlineLevel="0" collapsed="false">
      <c r="B25" s="551" t="s">
        <v>2237</v>
      </c>
      <c r="C25" s="630" t="n">
        <f aca="false">SUM(C18:C23)</f>
        <v>7028666.66666667</v>
      </c>
      <c r="D25" s="630" t="n">
        <f aca="false">SUM(D18:D23)</f>
        <v>3878666.66666667</v>
      </c>
      <c r="E25" s="630" t="n">
        <f aca="false">SUM(E18:E23)</f>
        <v>3878666.66666667</v>
      </c>
      <c r="F25" s="630" t="n">
        <f aca="false">SUM(F18:F23)</f>
        <v>3878666.66666667</v>
      </c>
      <c r="G25" s="630" t="n">
        <f aca="false">SUM(G18:G23)</f>
        <v>3878666.66666667</v>
      </c>
      <c r="H25" s="630" t="n">
        <f aca="false">SUM(H18:H23)</f>
        <v>2804666.66666667</v>
      </c>
      <c r="I25" s="630" t="n">
        <f aca="false">SUM(I18:I23)</f>
        <v>2804666.66666667</v>
      </c>
      <c r="J25" s="630" t="n">
        <f aca="false">SUM(J18:J23)</f>
        <v>2804666.66666667</v>
      </c>
      <c r="K25" s="630" t="n">
        <f aca="false">SUM(K18:K23)</f>
        <v>2804666.66666667</v>
      </c>
      <c r="L25" s="630" t="n">
        <f aca="false">SUM(L18:L23)</f>
        <v>2804666.66666667</v>
      </c>
    </row>
    <row r="27" customFormat="false" ht="19.5" hidden="false" customHeight="true" outlineLevel="0" collapsed="false">
      <c r="B27" s="629" t="s">
        <v>2238</v>
      </c>
      <c r="C27" s="629"/>
      <c r="D27" s="629"/>
      <c r="E27" s="629"/>
      <c r="F27" s="629"/>
      <c r="G27" s="629"/>
      <c r="H27" s="629"/>
      <c r="I27" s="629"/>
      <c r="J27" s="629"/>
      <c r="K27" s="629"/>
      <c r="L27" s="629"/>
    </row>
    <row r="29" customFormat="false" ht="15" hidden="false" customHeight="true" outlineLevel="0" collapsed="false">
      <c r="B29" s="656" t="s">
        <v>2239</v>
      </c>
      <c r="C29" s="659" t="n">
        <f aca="false">C10+C11+C12+C13+C14</f>
        <v>25130000</v>
      </c>
    </row>
    <row r="30" customFormat="false" ht="15" hidden="false" customHeight="true" outlineLevel="0" collapsed="false">
      <c r="B30" s="632" t="s">
        <v>2240</v>
      </c>
      <c r="C30" s="633" t="n">
        <f aca="false">$C$29-C25</f>
        <v>18101333.3333333</v>
      </c>
      <c r="D30" s="633" t="n">
        <f aca="false">C30-D25</f>
        <v>14222666.6666667</v>
      </c>
      <c r="E30" s="633" t="n">
        <f aca="false">D30-E25</f>
        <v>10344000</v>
      </c>
      <c r="F30" s="633" t="n">
        <f aca="false">E30-F25</f>
        <v>6465333.33333334</v>
      </c>
      <c r="G30" s="633" t="n">
        <f aca="false">F30-G25</f>
        <v>2586666.66666667</v>
      </c>
      <c r="H30" s="633" t="n">
        <f aca="false">G30-H25</f>
        <v>-217999.999999995</v>
      </c>
      <c r="I30" s="633" t="n">
        <f aca="false">H30-I25</f>
        <v>-3022666.66666666</v>
      </c>
      <c r="J30" s="633" t="n">
        <f aca="false">I30-J25</f>
        <v>-5827333.33333333</v>
      </c>
      <c r="K30" s="633" t="n">
        <f aca="false">J30-K25</f>
        <v>-8631999.99999999</v>
      </c>
      <c r="L30" s="633" t="n">
        <f aca="false">K30-L25</f>
        <v>-11436666.6666667</v>
      </c>
    </row>
  </sheetData>
  <mergeCells count="5">
    <mergeCell ref="B2:L2"/>
    <mergeCell ref="B3:L3"/>
    <mergeCell ref="B8:L8"/>
    <mergeCell ref="B17:L17"/>
    <mergeCell ref="B27:L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L8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57.33"/>
    <col collapsed="false" customWidth="true" hidden="false" outlineLevel="0" max="12" min="3" style="0" width="11"/>
  </cols>
  <sheetData>
    <row r="1" customFormat="false" ht="15" hidden="false" customHeight="true" outlineLevel="0" collapsed="false">
      <c r="B1" s="6"/>
    </row>
    <row r="2" customFormat="false" ht="33.75" hidden="false" customHeight="true" outlineLevel="0" collapsed="false">
      <c r="B2" s="15" t="s">
        <v>2241</v>
      </c>
      <c r="C2" s="15"/>
      <c r="D2" s="15"/>
      <c r="E2" s="15"/>
      <c r="F2" s="15"/>
      <c r="G2" s="15"/>
      <c r="H2" s="15"/>
      <c r="I2" s="15"/>
      <c r="J2" s="15"/>
      <c r="K2" s="15"/>
      <c r="L2" s="15"/>
    </row>
    <row r="3" customFormat="false" ht="93.75" hidden="false" customHeight="true" outlineLevel="0" collapsed="false">
      <c r="B3" s="660" t="str">
        <f aca="false">"Equipment Loan: $"&amp;TEXT(ABS(CapEx!D64)/1000000,"0.00")&amp;"M @ "&amp;TEXT(MASTER_ASSUMPTIONS!C44,"0.0%")&amp;" × "&amp;MASTER_ASSUMPTIONS!C45&amp;"yr · Working Capital Facility: $"&amp;TEXT(ABS(CapEx!D68)/1000,"0")&amp;"K @ 8% × 5yr · Suppliers Debt: $"&amp;TEXT(ABS(CapEx!D65)/1000000,"0.00")&amp;"M / 3yr no interest"</f>
        <v>Equipment Loan: $3.40M @ 7.0% × 7yr · Working Capital Facility: $587K @ 8% × 5yr · Suppliers Debt: $1.50M / 3yr no interest</v>
      </c>
    </row>
    <row r="4" customFormat="false" ht="15" hidden="false" customHeight="true" outlineLevel="0" collapsed="false">
      <c r="B4" s="6"/>
    </row>
    <row r="5" customFormat="false" ht="15" hidden="false" customHeight="true" outlineLevel="0" collapsed="false">
      <c r="B5" s="6"/>
    </row>
    <row r="6" customFormat="false" ht="21.75" hidden="false" customHeight="true" outlineLevel="0" collapsed="false">
      <c r="B6" s="97" t="s">
        <v>1141</v>
      </c>
      <c r="C6" s="98" t="s">
        <v>760</v>
      </c>
      <c r="D6" s="98" t="s">
        <v>908</v>
      </c>
      <c r="E6" s="98" t="s">
        <v>765</v>
      </c>
      <c r="F6" s="98" t="s">
        <v>770</v>
      </c>
      <c r="G6" s="98" t="s">
        <v>909</v>
      </c>
      <c r="H6" s="98" t="s">
        <v>910</v>
      </c>
      <c r="I6" s="98" t="s">
        <v>911</v>
      </c>
      <c r="J6" s="98" t="s">
        <v>912</v>
      </c>
      <c r="K6" s="98" t="s">
        <v>1200</v>
      </c>
      <c r="L6" s="98" t="s">
        <v>1201</v>
      </c>
    </row>
    <row r="7" customFormat="false" ht="15" hidden="false" customHeight="true" outlineLevel="0" collapsed="false">
      <c r="B7" s="6"/>
    </row>
    <row r="8" customFormat="false" ht="48.75" hidden="false" customHeight="true" outlineLevel="0" collapsed="false">
      <c r="B8" s="660" t="str">
        <f aca="false">"◆  EQUIPMENT  LOAN  ($"&amp;TEXT(ABS(CapEx!D64)/1000000,"0.00")&amp;"M @ "&amp;TEXT(MASTER_ASSUMPTIONS!C44,"0.0%")&amp;", "&amp;MASTER_ASSUMPTIONS!C45&amp;"-year amortization)"</f>
        <v>◆  EQUIPMENT  LOAN  ($3.40M @ 7.0%, 7-year amortization)</v>
      </c>
    </row>
    <row r="9" customFormat="false" ht="15" hidden="false" customHeight="true" outlineLevel="0" collapsed="false">
      <c r="B9" s="661" t="s">
        <v>2242</v>
      </c>
      <c r="C9" s="659" t="n">
        <f aca="false">-CapEx!D64</f>
        <v>3402000</v>
      </c>
    </row>
    <row r="10" customFormat="false" ht="15" hidden="false" customHeight="true" outlineLevel="0" collapsed="false">
      <c r="B10" s="113" t="s">
        <v>2243</v>
      </c>
      <c r="C10" s="357" t="n">
        <f aca="false">$C$9</f>
        <v>3402000</v>
      </c>
      <c r="D10" s="357" t="n">
        <f aca="false">C13</f>
        <v>2916000</v>
      </c>
      <c r="E10" s="357" t="n">
        <f aca="false">D13</f>
        <v>2430000</v>
      </c>
      <c r="F10" s="357" t="n">
        <f aca="false">E13</f>
        <v>1944000</v>
      </c>
      <c r="G10" s="357" t="n">
        <f aca="false">F13</f>
        <v>1458000</v>
      </c>
      <c r="H10" s="357" t="n">
        <f aca="false">G13</f>
        <v>972000</v>
      </c>
      <c r="I10" s="357" t="n">
        <f aca="false">H13</f>
        <v>486000</v>
      </c>
      <c r="J10" s="357" t="n">
        <v>0</v>
      </c>
      <c r="K10" s="357" t="n">
        <v>0</v>
      </c>
      <c r="L10" s="357" t="n">
        <v>0</v>
      </c>
    </row>
    <row r="11" customFormat="false" ht="15" hidden="false" customHeight="true" outlineLevel="0" collapsed="false">
      <c r="B11" s="639" t="s">
        <v>2244</v>
      </c>
      <c r="C11" s="361" t="n">
        <f aca="false">C10*0.07</f>
        <v>238140</v>
      </c>
      <c r="D11" s="361" t="n">
        <f aca="false">D10*0.07</f>
        <v>204120</v>
      </c>
      <c r="E11" s="361" t="n">
        <f aca="false">E10*0.07</f>
        <v>170100</v>
      </c>
      <c r="F11" s="361" t="n">
        <f aca="false">F10*0.07</f>
        <v>136080</v>
      </c>
      <c r="G11" s="361" t="n">
        <f aca="false">G10*0.07</f>
        <v>102060</v>
      </c>
      <c r="H11" s="361" t="n">
        <f aca="false">H10*0.07</f>
        <v>68040</v>
      </c>
      <c r="I11" s="361" t="n">
        <f aca="false">I10*0.07</f>
        <v>34020</v>
      </c>
      <c r="J11" s="361" t="n">
        <v>0</v>
      </c>
      <c r="K11" s="361" t="n">
        <v>0</v>
      </c>
      <c r="L11" s="361" t="n">
        <v>0</v>
      </c>
    </row>
    <row r="12" customFormat="false" ht="15" hidden="false" customHeight="true" outlineLevel="0" collapsed="false">
      <c r="B12" s="639" t="s">
        <v>2245</v>
      </c>
      <c r="C12" s="361" t="n">
        <f aca="false">$C$9/7</f>
        <v>486000</v>
      </c>
      <c r="D12" s="361" t="n">
        <f aca="false">$C$9/7</f>
        <v>486000</v>
      </c>
      <c r="E12" s="361" t="n">
        <f aca="false">$C$9/7</f>
        <v>486000</v>
      </c>
      <c r="F12" s="361" t="n">
        <f aca="false">$C$9/7</f>
        <v>486000</v>
      </c>
      <c r="G12" s="361" t="n">
        <f aca="false">$C$9/7</f>
        <v>486000</v>
      </c>
      <c r="H12" s="361" t="n">
        <f aca="false">$C$9/7</f>
        <v>486000</v>
      </c>
      <c r="I12" s="361" t="n">
        <f aca="false">$C$9/7</f>
        <v>486000</v>
      </c>
      <c r="J12" s="361" t="n">
        <v>0</v>
      </c>
      <c r="K12" s="361" t="n">
        <v>0</v>
      </c>
      <c r="L12" s="361" t="n">
        <v>0</v>
      </c>
    </row>
    <row r="13" customFormat="false" ht="15" hidden="false" customHeight="true" outlineLevel="0" collapsed="false">
      <c r="B13" s="662" t="s">
        <v>2246</v>
      </c>
      <c r="C13" s="633" t="n">
        <f aca="false">C10-C12</f>
        <v>2916000</v>
      </c>
      <c r="D13" s="633" t="n">
        <f aca="false">D10-D12</f>
        <v>2430000</v>
      </c>
      <c r="E13" s="633" t="n">
        <f aca="false">E10-E12</f>
        <v>1944000</v>
      </c>
      <c r="F13" s="633" t="n">
        <f aca="false">F10-F12</f>
        <v>1458000</v>
      </c>
      <c r="G13" s="633" t="n">
        <f aca="false">G10-G12</f>
        <v>972000</v>
      </c>
      <c r="H13" s="633" t="n">
        <f aca="false">H10-H12</f>
        <v>486000</v>
      </c>
      <c r="I13" s="633" t="n">
        <f aca="false">I10-I12</f>
        <v>0</v>
      </c>
      <c r="J13" s="633" t="n">
        <f aca="false">J10-J12</f>
        <v>0</v>
      </c>
      <c r="K13" s="633" t="n">
        <f aca="false">K10-K12</f>
        <v>0</v>
      </c>
      <c r="L13" s="633" t="n">
        <f aca="false">L10-L12</f>
        <v>0</v>
      </c>
    </row>
    <row r="14" customFormat="false" ht="15" hidden="false" customHeight="true" outlineLevel="0" collapsed="false">
      <c r="B14" s="663" t="s">
        <v>2247</v>
      </c>
      <c r="C14" s="664" t="n">
        <f aca="false">C11+C12</f>
        <v>724140</v>
      </c>
      <c r="D14" s="664" t="n">
        <f aca="false">D11+D12</f>
        <v>690120</v>
      </c>
      <c r="E14" s="664" t="n">
        <f aca="false">E11+E12</f>
        <v>656100</v>
      </c>
      <c r="F14" s="664" t="n">
        <f aca="false">F11+F12</f>
        <v>622080</v>
      </c>
      <c r="G14" s="664" t="n">
        <f aca="false">G11+G12</f>
        <v>588060</v>
      </c>
      <c r="H14" s="664" t="n">
        <f aca="false">H11+H12</f>
        <v>554040</v>
      </c>
      <c r="I14" s="664" t="n">
        <f aca="false">I11+I12</f>
        <v>520020</v>
      </c>
      <c r="J14" s="664" t="n">
        <f aca="false">J11+J12</f>
        <v>0</v>
      </c>
      <c r="K14" s="664" t="n">
        <f aca="false">K11+K12</f>
        <v>0</v>
      </c>
      <c r="L14" s="664" t="n">
        <f aca="false">L11+L12</f>
        <v>0</v>
      </c>
    </row>
    <row r="15" customFormat="false" ht="15" hidden="false" customHeight="true" outlineLevel="0" collapsed="false">
      <c r="B15" s="6"/>
    </row>
    <row r="16" customFormat="false" ht="19.5" hidden="false" customHeight="true" outlineLevel="0" collapsed="false">
      <c r="B16" s="332" t="s">
        <v>2248</v>
      </c>
      <c r="C16" s="332"/>
      <c r="D16" s="332"/>
      <c r="E16" s="332"/>
      <c r="F16" s="332"/>
      <c r="G16" s="332"/>
      <c r="H16" s="332"/>
      <c r="I16" s="332"/>
      <c r="J16" s="332"/>
      <c r="K16" s="332"/>
      <c r="L16" s="332"/>
    </row>
    <row r="17" customFormat="false" ht="15" hidden="false" customHeight="true" outlineLevel="0" collapsed="false">
      <c r="B17" s="661" t="s">
        <v>2249</v>
      </c>
      <c r="C17" s="659" t="n">
        <v>1500000</v>
      </c>
    </row>
    <row r="18" customFormat="false" ht="15" hidden="false" customHeight="true" outlineLevel="0" collapsed="false">
      <c r="B18" s="113" t="s">
        <v>2243</v>
      </c>
      <c r="C18" s="357" t="n">
        <f aca="false">$C$17</f>
        <v>1500000</v>
      </c>
      <c r="D18" s="357" t="n">
        <f aca="false">C20</f>
        <v>1000000</v>
      </c>
      <c r="E18" s="357" t="n">
        <f aca="false">D20</f>
        <v>500000</v>
      </c>
      <c r="F18" s="357" t="n">
        <v>0</v>
      </c>
      <c r="G18" s="357" t="n">
        <v>0</v>
      </c>
      <c r="H18" s="357" t="n">
        <v>0</v>
      </c>
      <c r="I18" s="357" t="n">
        <v>0</v>
      </c>
      <c r="J18" s="357" t="n">
        <v>0</v>
      </c>
      <c r="K18" s="357" t="n">
        <v>0</v>
      </c>
      <c r="L18" s="357" t="n">
        <v>0</v>
      </c>
    </row>
    <row r="19" customFormat="false" ht="15" hidden="false" customHeight="true" outlineLevel="0" collapsed="false">
      <c r="B19" s="639" t="s">
        <v>2245</v>
      </c>
      <c r="C19" s="361" t="n">
        <f aca="false">$C$17/3</f>
        <v>500000</v>
      </c>
      <c r="D19" s="361" t="n">
        <f aca="false">$C$17/3</f>
        <v>500000</v>
      </c>
      <c r="E19" s="361" t="n">
        <f aca="false">$C$17/3</f>
        <v>500000</v>
      </c>
      <c r="F19" s="361" t="n">
        <v>0</v>
      </c>
      <c r="G19" s="361" t="n">
        <v>0</v>
      </c>
      <c r="H19" s="361" t="n">
        <v>0</v>
      </c>
      <c r="I19" s="361" t="n">
        <v>0</v>
      </c>
      <c r="J19" s="361" t="n">
        <v>0</v>
      </c>
      <c r="K19" s="361" t="n">
        <v>0</v>
      </c>
      <c r="L19" s="361" t="n">
        <v>0</v>
      </c>
    </row>
    <row r="20" customFormat="false" ht="15" hidden="false" customHeight="true" outlineLevel="0" collapsed="false">
      <c r="B20" s="662" t="s">
        <v>2246</v>
      </c>
      <c r="C20" s="633" t="n">
        <f aca="false">C18-C19</f>
        <v>1000000</v>
      </c>
      <c r="D20" s="633" t="n">
        <f aca="false">D18-D19</f>
        <v>500000</v>
      </c>
      <c r="E20" s="633" t="n">
        <f aca="false">E18-E19</f>
        <v>0</v>
      </c>
      <c r="F20" s="633" t="n">
        <f aca="false">F18-F19</f>
        <v>0</v>
      </c>
      <c r="G20" s="633" t="n">
        <f aca="false">G18-G19</f>
        <v>0</v>
      </c>
      <c r="H20" s="633" t="n">
        <f aca="false">H18-H19</f>
        <v>0</v>
      </c>
      <c r="I20" s="633" t="n">
        <f aca="false">I18-I19</f>
        <v>0</v>
      </c>
      <c r="J20" s="633" t="n">
        <f aca="false">J18-J19</f>
        <v>0</v>
      </c>
      <c r="K20" s="633" t="n">
        <f aca="false">K18-K19</f>
        <v>0</v>
      </c>
      <c r="L20" s="633" t="n">
        <f aca="false">L18-L19</f>
        <v>0</v>
      </c>
    </row>
    <row r="21" customFormat="false" ht="15" hidden="false" customHeight="true" outlineLevel="0" collapsed="false">
      <c r="B21" s="6"/>
    </row>
    <row r="22" customFormat="false" ht="19.5" hidden="false" customHeight="true" outlineLevel="0" collapsed="false">
      <c r="B22" s="332" t="s">
        <v>2250</v>
      </c>
      <c r="C22" s="332"/>
      <c r="D22" s="332"/>
      <c r="E22" s="332"/>
      <c r="F22" s="332"/>
      <c r="G22" s="332"/>
      <c r="H22" s="332"/>
      <c r="I22" s="332"/>
      <c r="J22" s="332"/>
      <c r="K22" s="332"/>
      <c r="L22" s="332"/>
    </row>
    <row r="23" customFormat="false" ht="15" hidden="false" customHeight="true" outlineLevel="0" collapsed="false">
      <c r="B23" s="97" t="s">
        <v>2251</v>
      </c>
      <c r="C23" s="630" t="n">
        <f aca="false">C13+C20</f>
        <v>3916000</v>
      </c>
      <c r="D23" s="630" t="n">
        <f aca="false">D13+D20</f>
        <v>2930000</v>
      </c>
      <c r="E23" s="630" t="n">
        <f aca="false">E13+E20</f>
        <v>1944000</v>
      </c>
      <c r="F23" s="630" t="n">
        <f aca="false">F13+F20</f>
        <v>1458000</v>
      </c>
      <c r="G23" s="630" t="n">
        <f aca="false">G13+G20</f>
        <v>972000</v>
      </c>
      <c r="H23" s="630" t="n">
        <f aca="false">H13+H20</f>
        <v>486000</v>
      </c>
      <c r="I23" s="630" t="n">
        <f aca="false">I13+I20</f>
        <v>0</v>
      </c>
      <c r="J23" s="630" t="n">
        <f aca="false">J13+J20</f>
        <v>0</v>
      </c>
      <c r="K23" s="630" t="n">
        <f aca="false">K13+K20</f>
        <v>0</v>
      </c>
      <c r="L23" s="630" t="n">
        <f aca="false">L13+L20</f>
        <v>0</v>
      </c>
    </row>
    <row r="24" customFormat="false" ht="15" hidden="false" customHeight="true" outlineLevel="0" collapsed="false">
      <c r="B24" s="663" t="s">
        <v>2252</v>
      </c>
      <c r="C24" s="664" t="n">
        <f aca="false">C14+C19</f>
        <v>1224140</v>
      </c>
      <c r="D24" s="664" t="n">
        <f aca="false">D14+D19</f>
        <v>1190120</v>
      </c>
      <c r="E24" s="664" t="n">
        <f aca="false">E14+E19</f>
        <v>1156100</v>
      </c>
      <c r="F24" s="664" t="n">
        <f aca="false">F14+F19</f>
        <v>622080</v>
      </c>
      <c r="G24" s="664" t="n">
        <f aca="false">G14+G19</f>
        <v>588060</v>
      </c>
      <c r="H24" s="664" t="n">
        <f aca="false">H14+H19</f>
        <v>554040</v>
      </c>
      <c r="I24" s="664" t="n">
        <f aca="false">I14+I19</f>
        <v>520020</v>
      </c>
      <c r="J24" s="664" t="n">
        <f aca="false">J14+J19</f>
        <v>0</v>
      </c>
      <c r="K24" s="664" t="n">
        <f aca="false">K14+K19</f>
        <v>0</v>
      </c>
      <c r="L24" s="664" t="n">
        <f aca="false">L14+L19</f>
        <v>0</v>
      </c>
    </row>
    <row r="27" customFormat="false" ht="21.75" hidden="false" customHeight="true" outlineLevel="0" collapsed="false">
      <c r="B27" s="139" t="s">
        <v>2253</v>
      </c>
      <c r="C27" s="139"/>
      <c r="D27" s="139"/>
      <c r="E27" s="139"/>
      <c r="F27" s="139"/>
      <c r="G27" s="139"/>
      <c r="H27" s="139"/>
      <c r="I27" s="139"/>
      <c r="J27" s="139"/>
      <c r="K27" s="139"/>
    </row>
    <row r="29" customFormat="false" ht="19.5" hidden="false" customHeight="true" outlineLevel="0" collapsed="false">
      <c r="B29" s="188" t="s">
        <v>2254</v>
      </c>
      <c r="C29" s="665" t="s">
        <v>760</v>
      </c>
      <c r="D29" s="665" t="s">
        <v>908</v>
      </c>
      <c r="E29" s="665" t="s">
        <v>765</v>
      </c>
      <c r="F29" s="665" t="s">
        <v>770</v>
      </c>
      <c r="G29" s="665" t="s">
        <v>909</v>
      </c>
      <c r="H29" s="665" t="s">
        <v>910</v>
      </c>
      <c r="I29" s="665" t="s">
        <v>911</v>
      </c>
      <c r="J29" s="665" t="s">
        <v>912</v>
      </c>
      <c r="K29" s="188" t="s">
        <v>2255</v>
      </c>
      <c r="L29" s="188" t="s">
        <v>778</v>
      </c>
    </row>
    <row r="30" customFormat="false" ht="19.5" hidden="false" customHeight="true" outlineLevel="0" collapsed="false">
      <c r="B30" s="0" t="s">
        <v>2256</v>
      </c>
      <c r="C30" s="142" t="n">
        <f aca="false">'Consolidated 8Yr P&amp;L'!C35</f>
        <v>1508583.94025325</v>
      </c>
      <c r="D30" s="142" t="n">
        <f aca="false">'Consolidated 8Yr P&amp;L'!D35</f>
        <v>1836247.0817155</v>
      </c>
      <c r="E30" s="142" t="n">
        <f aca="false">'Consolidated 8Yr P&amp;L'!E35</f>
        <v>2159351.87463882</v>
      </c>
      <c r="F30" s="142" t="n">
        <f aca="false">'Consolidated 8Yr P&amp;L'!F35</f>
        <v>2106139.43959299</v>
      </c>
      <c r="G30" s="142" t="n">
        <f aca="false">'Consolidated 8Yr P&amp;L'!G35</f>
        <v>2342928.92912408</v>
      </c>
      <c r="H30" s="142" t="n">
        <f aca="false">'Consolidated 8Yr P&amp;L'!H35</f>
        <v>2379432.31922085</v>
      </c>
      <c r="I30" s="142" t="n">
        <f aca="false">'Consolidated 8Yr P&amp;L'!I35</f>
        <v>2442622.99128334</v>
      </c>
      <c r="J30" s="142" t="n">
        <f aca="false">'Consolidated 8Yr P&amp;L'!J35</f>
        <v>2511279.95259954</v>
      </c>
    </row>
    <row r="31" customFormat="false" ht="19.5" hidden="false" customHeight="true" outlineLevel="0" collapsed="false">
      <c r="B31" s="0" t="s">
        <v>2257</v>
      </c>
      <c r="C31" s="142" t="n">
        <f aca="false">C24</f>
        <v>1224140</v>
      </c>
      <c r="D31" s="142" t="n">
        <f aca="false">D24</f>
        <v>1190120</v>
      </c>
      <c r="E31" s="142" t="n">
        <f aca="false">E24</f>
        <v>1156100</v>
      </c>
      <c r="F31" s="142" t="n">
        <f aca="false">F24</f>
        <v>622080</v>
      </c>
      <c r="G31" s="142" t="n">
        <f aca="false">G24</f>
        <v>588060</v>
      </c>
      <c r="H31" s="142" t="n">
        <f aca="false">H24</f>
        <v>554040</v>
      </c>
      <c r="I31" s="142" t="n">
        <f aca="false">I24</f>
        <v>520020</v>
      </c>
      <c r="J31" s="142" t="n">
        <f aca="false">J24</f>
        <v>0</v>
      </c>
    </row>
    <row r="32" customFormat="false" ht="19.5" hidden="false" customHeight="true" outlineLevel="0" collapsed="false">
      <c r="B32" s="0" t="s">
        <v>2258</v>
      </c>
      <c r="C32" s="142" t="n">
        <f aca="false">C11</f>
        <v>238140</v>
      </c>
      <c r="D32" s="142" t="n">
        <f aca="false">D11</f>
        <v>204120</v>
      </c>
      <c r="E32" s="142" t="n">
        <f aca="false">E11</f>
        <v>170100</v>
      </c>
      <c r="F32" s="142" t="n">
        <f aca="false">F11</f>
        <v>136080</v>
      </c>
      <c r="G32" s="142" t="n">
        <f aca="false">G11</f>
        <v>102060</v>
      </c>
      <c r="H32" s="142" t="n">
        <f aca="false">H11</f>
        <v>68040</v>
      </c>
      <c r="I32" s="142" t="n">
        <f aca="false">I11</f>
        <v>34020</v>
      </c>
      <c r="J32" s="142" t="n">
        <f aca="false">J11</f>
        <v>0</v>
      </c>
    </row>
    <row r="34" customFormat="false" ht="19.5" hidden="false" customHeight="true" outlineLevel="0" collapsed="false">
      <c r="B34" s="188" t="s">
        <v>2259</v>
      </c>
      <c r="C34" s="666" t="n">
        <f aca="false">IFERROR(C30/C31,0)</f>
        <v>1.2323622626932</v>
      </c>
      <c r="D34" s="666" t="n">
        <f aca="false">IFERROR(D30/D31,0)</f>
        <v>1.54290918706979</v>
      </c>
      <c r="E34" s="666" t="n">
        <f aca="false">IFERROR(E30/E31,0)</f>
        <v>1.86778987513089</v>
      </c>
      <c r="F34" s="666" t="n">
        <f aca="false">IFERROR(F30/F31,0)</f>
        <v>3.38564081724696</v>
      </c>
      <c r="G34" s="666" t="n">
        <f aca="false">IFERROR(G30/G31,0)</f>
        <v>3.98416646111635</v>
      </c>
      <c r="H34" s="666" t="n">
        <f aca="false">IFERROR(H30/H31,0)</f>
        <v>4.29469410010261</v>
      </c>
      <c r="I34" s="666" t="n">
        <f aca="false">IFERROR(I30/I31,0)</f>
        <v>4.69717124588159</v>
      </c>
      <c r="J34" s="666" t="n">
        <f aca="false">IFERROR(J30/J31,0)</f>
        <v>0</v>
      </c>
      <c r="K34" s="665" t="s">
        <v>2260</v>
      </c>
      <c r="L34" s="0" t="s">
        <v>2261</v>
      </c>
    </row>
    <row r="35" customFormat="false" ht="19.5" hidden="false" customHeight="true" outlineLevel="0" collapsed="false">
      <c r="B35" s="188" t="s">
        <v>2262</v>
      </c>
      <c r="C35" s="667" t="n">
        <f aca="false">IFERROR(C30/C32,0)</f>
        <v>6.33486159508377</v>
      </c>
      <c r="D35" s="667" t="n">
        <f aca="false">IFERROR(D30/D32,0)</f>
        <v>8.99591946754605</v>
      </c>
      <c r="E35" s="667" t="n">
        <f aca="false">IFERROR(E30/E32,0)</f>
        <v>12.694602437618</v>
      </c>
      <c r="F35" s="667" t="n">
        <f aca="false">IFERROR(F30/F32,0)</f>
        <v>15.4772151645575</v>
      </c>
      <c r="G35" s="667" t="n">
        <f aca="false">IFERROR(G30/G32,0)</f>
        <v>22.9563877045275</v>
      </c>
      <c r="H35" s="667" t="n">
        <f aca="false">IFERROR(H30/H32,0)</f>
        <v>34.971080529407</v>
      </c>
      <c r="I35" s="667" t="n">
        <f aca="false">IFERROR(I30/I32,0)</f>
        <v>71.7996176156186</v>
      </c>
      <c r="J35" s="667" t="n">
        <f aca="false">IFERROR(J30/J32,0)</f>
        <v>0</v>
      </c>
      <c r="K35" s="665" t="s">
        <v>2263</v>
      </c>
      <c r="L35" s="0" t="s">
        <v>2264</v>
      </c>
    </row>
    <row r="36" customFormat="false" ht="19.5" hidden="false" customHeight="true" outlineLevel="0" collapsed="false">
      <c r="B36" s="188" t="s">
        <v>2265</v>
      </c>
      <c r="C36" s="666" t="n">
        <f aca="false">IFERROR(C23/C30,0)</f>
        <v>2.59581180437504</v>
      </c>
      <c r="D36" s="666" t="n">
        <f aca="false">IFERROR(D23/D30,0)</f>
        <v>1.59564583065949</v>
      </c>
      <c r="E36" s="666" t="n">
        <f aca="false">IFERROR(E23/E30,0)</f>
        <v>0.900270133289488</v>
      </c>
      <c r="F36" s="666" t="n">
        <f aca="false">IFERROR(F23/F30,0)</f>
        <v>0.692261857211961</v>
      </c>
      <c r="G36" s="666" t="n">
        <f aca="false">IFERROR(G23/G30,0)</f>
        <v>0.41486533710751</v>
      </c>
      <c r="H36" s="666" t="n">
        <f aca="false">IFERROR(H23/H30,0)</f>
        <v>0.204250398750212</v>
      </c>
      <c r="I36" s="666" t="n">
        <f aca="false">IFERROR(I23/I30,0)</f>
        <v>0</v>
      </c>
      <c r="J36" s="666" t="n">
        <f aca="false">IFERROR(J23/J30,0)</f>
        <v>0</v>
      </c>
      <c r="K36" s="665" t="s">
        <v>2266</v>
      </c>
      <c r="L36" s="0" t="s">
        <v>2267</v>
      </c>
    </row>
    <row r="38" customFormat="false" ht="19.5" hidden="false" customHeight="true" outlineLevel="0" collapsed="false">
      <c r="B38" s="188" t="s">
        <v>2268</v>
      </c>
      <c r="C38" s="142" t="n">
        <f aca="false">'Consolidated 8Yr CF'!C27</f>
        <v>0</v>
      </c>
      <c r="D38" s="142" t="n">
        <f aca="false">'Consolidated 8Yr CF'!D27</f>
        <v>13275.5858532495</v>
      </c>
      <c r="E38" s="142" t="n">
        <f aca="false">'Consolidated 8Yr CF'!E27</f>
        <v>384285.468868749</v>
      </c>
      <c r="F38" s="142" t="n">
        <f aca="false">'Consolidated 8Yr CF'!F27</f>
        <v>1108471.30050757</v>
      </c>
      <c r="G38" s="142" t="n">
        <f aca="false">'Consolidated 8Yr CF'!G27</f>
        <v>2322859.89710056</v>
      </c>
      <c r="H38" s="142" t="n">
        <f aca="false">'Consolidated 8Yr CF'!H27</f>
        <v>3810781.16107464</v>
      </c>
      <c r="I38" s="142" t="n">
        <f aca="false">'Consolidated 8Yr CF'!I27</f>
        <v>5438307.069807</v>
      </c>
      <c r="J38" s="142" t="n">
        <f aca="false">'Consolidated 8Yr CF'!J27</f>
        <v>7143646.52125903</v>
      </c>
    </row>
    <row r="39" customFormat="false" ht="19.5" hidden="false" customHeight="true" outlineLevel="0" collapsed="false">
      <c r="B39" s="0" t="s">
        <v>2269</v>
      </c>
      <c r="C39" s="142" t="n">
        <v>500000</v>
      </c>
      <c r="D39" s="142" t="n">
        <v>500000</v>
      </c>
      <c r="E39" s="142" t="n">
        <v>500000</v>
      </c>
      <c r="F39" s="142" t="n">
        <v>500000</v>
      </c>
      <c r="G39" s="142" t="n">
        <v>500000</v>
      </c>
      <c r="H39" s="142" t="n">
        <v>500000</v>
      </c>
      <c r="I39" s="142" t="n">
        <v>500000</v>
      </c>
      <c r="J39" s="142" t="n">
        <v>500000</v>
      </c>
      <c r="K39" s="668" t="s">
        <v>2270</v>
      </c>
      <c r="L39" s="0" t="s">
        <v>2271</v>
      </c>
    </row>
    <row r="40" customFormat="false" ht="19.5" hidden="false" customHeight="true" outlineLevel="0" collapsed="false">
      <c r="B40" s="188" t="s">
        <v>2272</v>
      </c>
      <c r="C40" s="560" t="n">
        <f aca="false">C38-C39</f>
        <v>-500000</v>
      </c>
      <c r="D40" s="560" t="n">
        <f aca="false">D38-D39</f>
        <v>-486724.41414675</v>
      </c>
      <c r="E40" s="560" t="n">
        <f aca="false">E38-E39</f>
        <v>-115714.531131251</v>
      </c>
      <c r="F40" s="560" t="n">
        <f aca="false">F38-F39</f>
        <v>608471.300507572</v>
      </c>
      <c r="G40" s="560" t="n">
        <f aca="false">G38-G39</f>
        <v>1822859.89710056</v>
      </c>
      <c r="H40" s="560" t="n">
        <f aca="false">H38-H39</f>
        <v>3310781.16107464</v>
      </c>
      <c r="I40" s="560" t="n">
        <f aca="false">I38-I39</f>
        <v>4938307.069807</v>
      </c>
      <c r="J40" s="560" t="n">
        <f aca="false">J38-J39</f>
        <v>6643646.52125903</v>
      </c>
    </row>
    <row r="42" customFormat="false" ht="21.75" hidden="false" customHeight="true" outlineLevel="0" collapsed="false">
      <c r="B42" s="154" t="s">
        <v>2273</v>
      </c>
      <c r="C42" s="154"/>
      <c r="D42" s="154"/>
      <c r="E42" s="154"/>
      <c r="F42" s="154"/>
      <c r="G42" s="154"/>
      <c r="H42" s="154"/>
      <c r="I42" s="154"/>
      <c r="J42" s="154"/>
      <c r="K42" s="154"/>
      <c r="L42" s="154"/>
    </row>
    <row r="43" customFormat="false" ht="21.75" hidden="false" customHeight="true" outlineLevel="0" collapsed="false">
      <c r="B43" s="154" t="s">
        <v>2274</v>
      </c>
      <c r="C43" s="154"/>
      <c r="D43" s="154"/>
      <c r="E43" s="154"/>
      <c r="F43" s="154"/>
      <c r="G43" s="154"/>
      <c r="H43" s="154"/>
      <c r="I43" s="154"/>
      <c r="J43" s="154"/>
      <c r="K43" s="154"/>
      <c r="L43" s="154"/>
    </row>
    <row r="44" customFormat="false" ht="21.75" hidden="false" customHeight="true" outlineLevel="0" collapsed="false">
      <c r="B44" s="154" t="s">
        <v>2275</v>
      </c>
      <c r="C44" s="154"/>
      <c r="D44" s="154"/>
      <c r="E44" s="154"/>
      <c r="F44" s="154"/>
      <c r="G44" s="154"/>
      <c r="H44" s="154"/>
      <c r="I44" s="154"/>
      <c r="J44" s="154"/>
      <c r="K44" s="154"/>
      <c r="L44" s="154"/>
    </row>
    <row r="45" customFormat="false" ht="21.75" hidden="false" customHeight="true" outlineLevel="0" collapsed="false">
      <c r="B45" s="154" t="s">
        <v>2276</v>
      </c>
      <c r="C45" s="154"/>
      <c r="D45" s="154"/>
      <c r="E45" s="154"/>
      <c r="F45" s="154"/>
      <c r="G45" s="154"/>
      <c r="H45" s="154"/>
      <c r="I45" s="154"/>
      <c r="J45" s="154"/>
      <c r="K45" s="154"/>
      <c r="L45" s="154"/>
    </row>
    <row r="48" customFormat="false" ht="21.75" hidden="false" customHeight="true" outlineLevel="0" collapsed="false">
      <c r="B48" s="139" t="s">
        <v>2277</v>
      </c>
      <c r="C48" s="139"/>
      <c r="D48" s="139"/>
      <c r="E48" s="139"/>
      <c r="F48" s="139"/>
      <c r="G48" s="139"/>
      <c r="H48" s="139"/>
      <c r="I48" s="139"/>
      <c r="J48" s="139"/>
      <c r="K48" s="139"/>
    </row>
    <row r="50" customFormat="false" ht="19.5" hidden="false" customHeight="true" outlineLevel="0" collapsed="false">
      <c r="B50" s="0" t="s">
        <v>2278</v>
      </c>
      <c r="C50" s="0" t="s">
        <v>2279</v>
      </c>
      <c r="D50" s="669" t="n">
        <v>0.05</v>
      </c>
      <c r="E50" s="669" t="n">
        <v>0.06</v>
      </c>
      <c r="F50" s="669" t="n">
        <v>0.07</v>
      </c>
      <c r="G50" s="669" t="n">
        <v>0.08</v>
      </c>
      <c r="H50" s="669" t="n">
        <v>0.09</v>
      </c>
      <c r="I50" s="669" t="n">
        <v>0.1</v>
      </c>
    </row>
    <row r="51" customFormat="false" ht="19.5" hidden="false" customHeight="true" outlineLevel="0" collapsed="false">
      <c r="B51" s="0" t="s">
        <v>2280</v>
      </c>
      <c r="C51" s="670" t="n">
        <v>-0.3</v>
      </c>
      <c r="D51" s="671" t="n">
        <f aca="false">('Consolidated 8Yr P&amp;L'!$C$35*(1+$C51))/(($C$9/7)+1500000/3+$C$9*D$50)</f>
        <v>0.913423370104035</v>
      </c>
      <c r="E51" s="671" t="n">
        <f aca="false">('Consolidated 8Yr P&amp;L'!$C$35*(1+$C51))/(($C$9/7)+1500000/3+$C$9*E$50)</f>
        <v>0.887312840870899</v>
      </c>
      <c r="F51" s="671" t="n">
        <f aca="false">('Consolidated 8Yr P&amp;L'!$C$35*(1+$C51))/(($C$9/7)+1500000/3+$C$9*F$50)</f>
        <v>0.862653583885238</v>
      </c>
      <c r="G51" s="671" t="n">
        <f aca="false">('Consolidated 8Yr P&amp;L'!$C$35*(1+$C51))/(($C$9/7)+1500000/3+$C$9*G$50)</f>
        <v>0.839327874179178</v>
      </c>
      <c r="H51" s="671" t="n">
        <f aca="false">('Consolidated 8Yr P&amp;L'!$C$35*(1+$C51))/(($C$9/7)+1500000/3+$C$9*H$50)</f>
        <v>0.817230384448974</v>
      </c>
      <c r="I51" s="671" t="n">
        <f aca="false">('Consolidated 8Yr P&amp;L'!$C$35*(1+$C51))/(($C$9/7)+1500000/3+$C$9*I$50)</f>
        <v>0.796266594915755</v>
      </c>
    </row>
    <row r="52" customFormat="false" ht="19.5" hidden="false" customHeight="true" outlineLevel="0" collapsed="false">
      <c r="B52" s="0" t="s">
        <v>2281</v>
      </c>
      <c r="C52" s="670" t="n">
        <v>-0.2</v>
      </c>
      <c r="D52" s="671" t="n">
        <f aca="false">('Consolidated 8Yr P&amp;L'!$C$35*(1+$C52))/(($C$9/7)+1500000/3+$C$9*D$50)</f>
        <v>1.04391242297604</v>
      </c>
      <c r="E52" s="671" t="n">
        <f aca="false">('Consolidated 8Yr P&amp;L'!$C$35*(1+$C52))/(($C$9/7)+1500000/3+$C$9*E$50)</f>
        <v>1.01407181813817</v>
      </c>
      <c r="F52" s="671" t="n">
        <f aca="false">('Consolidated 8Yr P&amp;L'!$C$35*(1+$C52))/(($C$9/7)+1500000/3+$C$9*F$50)</f>
        <v>0.985889810154557</v>
      </c>
      <c r="G52" s="671" t="n">
        <f aca="false">('Consolidated 8Yr P&amp;L'!$C$35*(1+$C52))/(($C$9/7)+1500000/3+$C$9*G$50)</f>
        <v>0.959231856204775</v>
      </c>
      <c r="H52" s="671" t="n">
        <f aca="false">('Consolidated 8Yr P&amp;L'!$C$35*(1+$C52))/(($C$9/7)+1500000/3+$C$9*H$50)</f>
        <v>0.933977582227399</v>
      </c>
      <c r="I52" s="671" t="n">
        <f aca="false">('Consolidated 8Yr P&amp;L'!$C$35*(1+$C52))/(($C$9/7)+1500000/3+$C$9*I$50)</f>
        <v>0.910018965618006</v>
      </c>
    </row>
    <row r="53" customFormat="false" ht="19.5" hidden="false" customHeight="true" outlineLevel="0" collapsed="false">
      <c r="B53" s="0" t="s">
        <v>2282</v>
      </c>
      <c r="C53" s="670" t="n">
        <v>-0.1</v>
      </c>
      <c r="D53" s="671" t="n">
        <f aca="false">('Consolidated 8Yr P&amp;L'!$C$35*(1+$C53))/(($C$9/7)+1500000/3+$C$9*D$50)</f>
        <v>1.17440147584805</v>
      </c>
      <c r="E53" s="671" t="n">
        <f aca="false">('Consolidated 8Yr P&amp;L'!$C$35*(1+$C53))/(($C$9/7)+1500000/3+$C$9*E$50)</f>
        <v>1.14083079540544</v>
      </c>
      <c r="F53" s="671" t="n">
        <f aca="false">('Consolidated 8Yr P&amp;L'!$C$35*(1+$C53))/(($C$9/7)+1500000/3+$C$9*F$50)</f>
        <v>1.10912603642388</v>
      </c>
      <c r="G53" s="671" t="n">
        <f aca="false">('Consolidated 8Yr P&amp;L'!$C$35*(1+$C53))/(($C$9/7)+1500000/3+$C$9*G$50)</f>
        <v>1.07913583823037</v>
      </c>
      <c r="H53" s="671" t="n">
        <f aca="false">('Consolidated 8Yr P&amp;L'!$C$35*(1+$C53))/(($C$9/7)+1500000/3+$C$9*H$50)</f>
        <v>1.05072478000582</v>
      </c>
      <c r="I53" s="671" t="n">
        <f aca="false">('Consolidated 8Yr P&amp;L'!$C$35*(1+$C53))/(($C$9/7)+1500000/3+$C$9*I$50)</f>
        <v>1.02377133632026</v>
      </c>
    </row>
    <row r="54" customFormat="false" ht="19.5" hidden="false" customHeight="true" outlineLevel="0" collapsed="false">
      <c r="B54" s="0" t="s">
        <v>2283</v>
      </c>
      <c r="C54" s="670" t="n">
        <v>0</v>
      </c>
      <c r="D54" s="671" t="n">
        <f aca="false">('Consolidated 8Yr P&amp;L'!$C$35*(1+$C54))/(($C$9/7)+1500000/3+$C$9*D$50)</f>
        <v>1.30489052872005</v>
      </c>
      <c r="E54" s="671" t="n">
        <f aca="false">('Consolidated 8Yr P&amp;L'!$C$35*(1+$C54))/(($C$9/7)+1500000/3+$C$9*E$50)</f>
        <v>1.26758977267271</v>
      </c>
      <c r="F54" s="671" t="n">
        <f aca="false">('Consolidated 8Yr P&amp;L'!$C$35*(1+$C54))/(($C$9/7)+1500000/3+$C$9*F$50)</f>
        <v>1.2323622626932</v>
      </c>
      <c r="G54" s="671" t="n">
        <f aca="false">('Consolidated 8Yr P&amp;L'!$C$35*(1+$C54))/(($C$9/7)+1500000/3+$C$9*G$50)</f>
        <v>1.19903982025597</v>
      </c>
      <c r="H54" s="671" t="n">
        <f aca="false">('Consolidated 8Yr P&amp;L'!$C$35*(1+$C54))/(($C$9/7)+1500000/3+$C$9*H$50)</f>
        <v>1.16747197778425</v>
      </c>
      <c r="I54" s="671" t="n">
        <f aca="false">('Consolidated 8Yr P&amp;L'!$C$35*(1+$C54))/(($C$9/7)+1500000/3+$C$9*I$50)</f>
        <v>1.13752370702251</v>
      </c>
    </row>
    <row r="55" customFormat="false" ht="19.5" hidden="false" customHeight="true" outlineLevel="0" collapsed="false">
      <c r="B55" s="0" t="s">
        <v>2284</v>
      </c>
      <c r="C55" s="670" t="n">
        <v>0.1</v>
      </c>
      <c r="D55" s="671" t="n">
        <f aca="false">('Consolidated 8Yr P&amp;L'!$C$35*(1+$C55))/(($C$9/7)+1500000/3+$C$9*D$50)</f>
        <v>1.43537958159206</v>
      </c>
      <c r="E55" s="671" t="n">
        <f aca="false">('Consolidated 8Yr P&amp;L'!$C$35*(1+$C55))/(($C$9/7)+1500000/3+$C$9*E$50)</f>
        <v>1.39434874993998</v>
      </c>
      <c r="F55" s="671" t="n">
        <f aca="false">('Consolidated 8Yr P&amp;L'!$C$35*(1+$C55))/(($C$9/7)+1500000/3+$C$9*F$50)</f>
        <v>1.35559848896252</v>
      </c>
      <c r="G55" s="671" t="n">
        <f aca="false">('Consolidated 8Yr P&amp;L'!$C$35*(1+$C55))/(($C$9/7)+1500000/3+$C$9*G$50)</f>
        <v>1.31894380228157</v>
      </c>
      <c r="H55" s="671" t="n">
        <f aca="false">('Consolidated 8Yr P&amp;L'!$C$35*(1+$C55))/(($C$9/7)+1500000/3+$C$9*H$50)</f>
        <v>1.28421917556267</v>
      </c>
      <c r="I55" s="671" t="n">
        <f aca="false">('Consolidated 8Yr P&amp;L'!$C$35*(1+$C55))/(($C$9/7)+1500000/3+$C$9*I$50)</f>
        <v>1.25127607772476</v>
      </c>
    </row>
    <row r="58" customFormat="false" ht="21.75" hidden="false" customHeight="true" outlineLevel="0" collapsed="false">
      <c r="B58" s="139" t="s">
        <v>2285</v>
      </c>
      <c r="C58" s="139"/>
      <c r="D58" s="139"/>
      <c r="E58" s="139"/>
      <c r="F58" s="139"/>
      <c r="G58" s="139"/>
      <c r="H58" s="139"/>
      <c r="I58" s="139"/>
      <c r="J58" s="139"/>
      <c r="K58" s="139"/>
    </row>
    <row r="60" customFormat="false" ht="18" hidden="false" customHeight="true" outlineLevel="0" collapsed="false">
      <c r="B60" s="0" t="s">
        <v>2286</v>
      </c>
      <c r="C60" s="672" t="n">
        <v>3</v>
      </c>
    </row>
    <row r="61" customFormat="false" ht="18" hidden="false" customHeight="true" outlineLevel="0" collapsed="false">
      <c r="B61" s="0" t="s">
        <v>2287</v>
      </c>
      <c r="C61" s="672" t="n">
        <v>7</v>
      </c>
    </row>
    <row r="62" customFormat="false" ht="18" hidden="false" customHeight="true" outlineLevel="0" collapsed="false">
      <c r="B62" s="0" t="s">
        <v>2288</v>
      </c>
      <c r="C62" s="177" t="n">
        <v>0.055</v>
      </c>
    </row>
    <row r="63" customFormat="false" ht="18" hidden="false" customHeight="true" outlineLevel="0" collapsed="false">
      <c r="B63" s="0" t="s">
        <v>2289</v>
      </c>
      <c r="C63" s="142" t="n">
        <f aca="false">E13</f>
        <v>1944000</v>
      </c>
    </row>
    <row r="64" customFormat="false" ht="18" hidden="false" customHeight="true" outlineLevel="0" collapsed="false">
      <c r="B64" s="0" t="s">
        <v>2290</v>
      </c>
      <c r="C64" s="142" t="n">
        <f aca="false">-PMT(C62,C61,C63)</f>
        <v>342074.828150432</v>
      </c>
    </row>
    <row r="65" customFormat="false" ht="18" hidden="false" customHeight="true" outlineLevel="0" collapsed="false">
      <c r="B65" s="0" t="s">
        <v>2291</v>
      </c>
      <c r="C65" s="666" t="n">
        <f aca="false">'Consolidated 8Yr P&amp;L'!F35/C64</f>
        <v>6.15695533921831</v>
      </c>
    </row>
    <row r="66" customFormat="false" ht="49.5" hidden="false" customHeight="true" outlineLevel="0" collapsed="false">
      <c r="B66" s="154" t="s">
        <v>2292</v>
      </c>
      <c r="C66" s="154"/>
      <c r="D66" s="154"/>
      <c r="E66" s="154"/>
      <c r="F66" s="154"/>
      <c r="G66" s="154"/>
      <c r="H66" s="154"/>
      <c r="I66" s="154"/>
      <c r="J66" s="154"/>
      <c r="K66" s="154"/>
      <c r="L66" s="154"/>
    </row>
    <row r="68" customFormat="false" ht="21.75" hidden="false" customHeight="true" outlineLevel="0" collapsed="false">
      <c r="B68" s="139" t="s">
        <v>2293</v>
      </c>
      <c r="C68" s="139"/>
      <c r="D68" s="139"/>
      <c r="E68" s="139"/>
      <c r="F68" s="139"/>
      <c r="G68" s="139"/>
      <c r="H68" s="139"/>
      <c r="I68" s="139"/>
      <c r="J68" s="139"/>
      <c r="K68" s="139"/>
    </row>
    <row r="70" customFormat="false" ht="18" hidden="false" customHeight="true" outlineLevel="0" collapsed="false">
      <c r="B70" s="188" t="s">
        <v>2294</v>
      </c>
      <c r="C70" s="188" t="s">
        <v>2295</v>
      </c>
      <c r="D70" s="188" t="s">
        <v>2296</v>
      </c>
    </row>
    <row r="71" customFormat="false" ht="18" hidden="false" customHeight="true" outlineLevel="0" collapsed="false">
      <c r="B71" s="0" t="s">
        <v>2297</v>
      </c>
      <c r="C71" s="142" t="n">
        <f aca="false">'Consolidated 8Yr P&amp;L'!C35</f>
        <v>1508583.94025325</v>
      </c>
    </row>
    <row r="72" customFormat="false" ht="18" hidden="false" customHeight="true" outlineLevel="0" collapsed="false">
      <c r="B72" s="0" t="s">
        <v>2298</v>
      </c>
      <c r="C72" s="142" t="n">
        <f aca="false">C24</f>
        <v>1224140</v>
      </c>
    </row>
    <row r="73" customFormat="false" ht="18" hidden="false" customHeight="true" outlineLevel="0" collapsed="false">
      <c r="B73" s="0" t="s">
        <v>2299</v>
      </c>
      <c r="C73" s="673" t="n">
        <f aca="false">C71/C72</f>
        <v>1.2323622626932</v>
      </c>
    </row>
    <row r="75" customFormat="false" ht="18" hidden="false" customHeight="true" outlineLevel="0" collapsed="false">
      <c r="B75" s="0" t="s">
        <v>2300</v>
      </c>
      <c r="C75" s="142" t="n">
        <v>500000</v>
      </c>
      <c r="D75" s="0" t="s">
        <v>2301</v>
      </c>
    </row>
    <row r="76" customFormat="false" ht="18" hidden="false" customHeight="true" outlineLevel="0" collapsed="false">
      <c r="B76" s="0" t="s">
        <v>2302</v>
      </c>
      <c r="C76" s="673" t="n">
        <f aca="false">C71/(C72-C75)</f>
        <v>2.0832766319403</v>
      </c>
    </row>
    <row r="78" customFormat="false" ht="18" hidden="false" customHeight="true" outlineLevel="0" collapsed="false">
      <c r="B78" s="0" t="s">
        <v>2303</v>
      </c>
      <c r="C78" s="142" t="n">
        <v>587000</v>
      </c>
      <c r="D78" s="0" t="s">
        <v>2304</v>
      </c>
    </row>
    <row r="80" customFormat="false" ht="18" hidden="false" customHeight="true" outlineLevel="0" collapsed="false">
      <c r="B80" s="0" t="s">
        <v>2305</v>
      </c>
      <c r="C80" s="142" t="n">
        <f aca="false">MAX(0,'Consolidated 8Yr P&amp;L'!C45)*UNIVERSAL_DRIVERS!$C$11</f>
        <v>0</v>
      </c>
      <c r="D80" s="0" t="s">
        <v>2306</v>
      </c>
    </row>
    <row r="82" customFormat="false" ht="18" hidden="false" customHeight="true" outlineLevel="0" collapsed="false">
      <c r="B82" s="188" t="s">
        <v>2307</v>
      </c>
      <c r="C82" s="463" t="n">
        <f aca="false">(C71+C78+C80)/(C72-C75)</f>
        <v>2.89389336351154</v>
      </c>
      <c r="D82" s="0" t="s">
        <v>2308</v>
      </c>
    </row>
    <row r="84" customFormat="false" ht="49.5" hidden="false" customHeight="true" outlineLevel="0" collapsed="false">
      <c r="B84" s="154" t="s">
        <v>2309</v>
      </c>
      <c r="C84" s="154"/>
      <c r="D84" s="154"/>
      <c r="E84" s="154"/>
      <c r="F84" s="154"/>
      <c r="G84" s="154"/>
      <c r="H84" s="154"/>
      <c r="I84" s="154"/>
      <c r="J84" s="154"/>
      <c r="K84" s="154"/>
      <c r="L84" s="154"/>
    </row>
  </sheetData>
  <mergeCells count="13">
    <mergeCell ref="B2:L2"/>
    <mergeCell ref="B16:L16"/>
    <mergeCell ref="B22:L22"/>
    <mergeCell ref="B27:K27"/>
    <mergeCell ref="B42:L42"/>
    <mergeCell ref="B43:L43"/>
    <mergeCell ref="B44:L44"/>
    <mergeCell ref="B45:L45"/>
    <mergeCell ref="B48:K48"/>
    <mergeCell ref="B58:K58"/>
    <mergeCell ref="B66:L66"/>
    <mergeCell ref="B68:K68"/>
    <mergeCell ref="B84:L8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6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0"/>
    <col collapsed="false" customWidth="true" hidden="false" outlineLevel="0" max="8" min="8" style="0" width="12"/>
    <col collapsed="false" customWidth="true" hidden="false" outlineLevel="0" max="11" min="9" style="0" width="16"/>
  </cols>
  <sheetData>
    <row r="1" customFormat="false" ht="3.75" hidden="false" customHeight="true" outlineLevel="0" collapsed="false">
      <c r="B1" s="1"/>
      <c r="C1" s="2"/>
      <c r="D1" s="2"/>
      <c r="E1" s="2"/>
      <c r="F1" s="2"/>
      <c r="G1" s="1"/>
      <c r="H1" s="2"/>
      <c r="I1" s="2"/>
      <c r="J1" s="2"/>
      <c r="K1" s="2"/>
    </row>
    <row r="2" customFormat="false" ht="33.75" hidden="false" customHeight="true" outlineLevel="0" collapsed="false">
      <c r="B2" s="88" t="s">
        <v>2310</v>
      </c>
      <c r="C2" s="88"/>
      <c r="D2" s="88"/>
      <c r="E2" s="88"/>
      <c r="F2" s="88"/>
      <c r="G2" s="88"/>
      <c r="H2" s="89" t="s">
        <v>198</v>
      </c>
      <c r="I2" s="89"/>
      <c r="J2" s="89"/>
      <c r="K2" s="89"/>
    </row>
    <row r="3" customFormat="false" ht="33.75" hidden="false" customHeight="true" outlineLevel="0" collapsed="false">
      <c r="B3" s="90" t="s">
        <v>2311</v>
      </c>
      <c r="C3" s="90"/>
      <c r="D3" s="90"/>
      <c r="E3" s="90"/>
      <c r="F3" s="90"/>
      <c r="G3" s="90"/>
      <c r="H3" s="90"/>
      <c r="I3" s="90"/>
      <c r="J3" s="90"/>
      <c r="K3" s="90"/>
    </row>
    <row r="4" customFormat="false" ht="15" hidden="false" customHeight="true" outlineLevel="0" collapsed="false">
      <c r="B4" s="6"/>
      <c r="G4" s="6"/>
    </row>
    <row r="5" customFormat="false" ht="33.75" hidden="false" customHeight="true" outlineLevel="0" collapsed="false">
      <c r="B5" s="674" t="s">
        <v>2312</v>
      </c>
      <c r="C5" s="674"/>
      <c r="D5" s="674"/>
      <c r="E5" s="674"/>
      <c r="F5" s="674"/>
      <c r="G5" s="674"/>
      <c r="H5" s="674"/>
      <c r="I5" s="674"/>
      <c r="J5" s="674"/>
      <c r="K5" s="674"/>
    </row>
    <row r="6" customFormat="false" ht="15" hidden="false" customHeight="true" outlineLevel="0" collapsed="false">
      <c r="B6" s="6"/>
      <c r="G6" s="6"/>
    </row>
    <row r="7" customFormat="false" ht="21.75" hidden="false" customHeight="true" outlineLevel="0" collapsed="false">
      <c r="B7" s="97" t="s">
        <v>2313</v>
      </c>
      <c r="C7" s="675" t="s">
        <v>2314</v>
      </c>
      <c r="D7" s="675" t="s">
        <v>2315</v>
      </c>
      <c r="E7" s="676" t="s">
        <v>608</v>
      </c>
      <c r="F7" s="677" t="s">
        <v>2316</v>
      </c>
      <c r="G7" s="678" t="s">
        <v>2317</v>
      </c>
      <c r="H7" s="551" t="s">
        <v>2318</v>
      </c>
    </row>
    <row r="8" customFormat="false" ht="16.5" hidden="false" customHeight="true" outlineLevel="0" collapsed="false">
      <c r="B8" s="113" t="s">
        <v>2319</v>
      </c>
      <c r="C8" s="598" t="n">
        <f aca="false">'Master Revenue'!D17+'Master Revenue'!D7*(-0.2)</f>
        <v>6471822.48</v>
      </c>
      <c r="D8" s="598" t="n">
        <f aca="false">'Master Revenue'!D17+'Master Revenue'!D7*(-0.1)</f>
        <v>6571922.315</v>
      </c>
      <c r="E8" s="544" t="n">
        <f aca="false">'Master Revenue'!D17</f>
        <v>6672022.15</v>
      </c>
      <c r="F8" s="679" t="n">
        <f aca="false">'Master Revenue'!D17+'Master Revenue'!D7*(0.1)</f>
        <v>6772121.985</v>
      </c>
      <c r="G8" s="680" t="n">
        <f aca="false">'Master Revenue'!D17+'Master Revenue'!D7*(0.2)</f>
        <v>6872221.82</v>
      </c>
      <c r="H8" s="565" t="s">
        <v>2320</v>
      </c>
    </row>
    <row r="9" customFormat="false" ht="16.5" hidden="false" customHeight="true" outlineLevel="0" collapsed="false">
      <c r="B9" s="113" t="s">
        <v>2321</v>
      </c>
      <c r="C9" s="598" t="n">
        <f aca="false">'Master Revenue'!D17+'Master Revenue'!D8*(-0.2)</f>
        <v>6430780.15</v>
      </c>
      <c r="D9" s="598" t="n">
        <f aca="false">'Master Revenue'!D17+'Master Revenue'!D8*(-0.1)</f>
        <v>6551401.15</v>
      </c>
      <c r="E9" s="544" t="n">
        <f aca="false">'Master Revenue'!D17</f>
        <v>6672022.15</v>
      </c>
      <c r="F9" s="679" t="n">
        <f aca="false">'Master Revenue'!D17+'Master Revenue'!D8*(0.1)</f>
        <v>6792643.15</v>
      </c>
      <c r="G9" s="680" t="n">
        <f aca="false">'Master Revenue'!D17+'Master Revenue'!D8*(0.2)</f>
        <v>6913264.15</v>
      </c>
      <c r="H9" s="565" t="s">
        <v>2322</v>
      </c>
    </row>
    <row r="10" customFormat="false" ht="16.5" hidden="false" customHeight="true" outlineLevel="0" collapsed="false">
      <c r="B10" s="113" t="s">
        <v>2323</v>
      </c>
      <c r="C10" s="598" t="n">
        <f aca="false">'Master Revenue'!D17+'Master Revenue'!D9*(-0.2)</f>
        <v>6353008.15</v>
      </c>
      <c r="D10" s="598" t="n">
        <f aca="false">'Master Revenue'!D17+'Master Revenue'!D9*(-0.1)</f>
        <v>6512515.15</v>
      </c>
      <c r="E10" s="544" t="n">
        <f aca="false">'Master Revenue'!D17</f>
        <v>6672022.15</v>
      </c>
      <c r="F10" s="679" t="n">
        <f aca="false">'Master Revenue'!D17+'Master Revenue'!D9*(0.1)</f>
        <v>6831529.15</v>
      </c>
      <c r="G10" s="680" t="n">
        <f aca="false">'Master Revenue'!D17+'Master Revenue'!D9*(0.2)</f>
        <v>6991036.15</v>
      </c>
      <c r="H10" s="565" t="s">
        <v>2324</v>
      </c>
    </row>
    <row r="11" customFormat="false" ht="16.5" hidden="false" customHeight="true" outlineLevel="0" collapsed="false">
      <c r="B11" s="113" t="s">
        <v>2325</v>
      </c>
      <c r="C11" s="598" t="n">
        <f aca="false">'Master Revenue'!D17+'Master Revenue'!D10*(-0.2)</f>
        <v>6533290.87</v>
      </c>
      <c r="D11" s="598" t="n">
        <f aca="false">'Master Revenue'!D17+'Master Revenue'!D10*(-0.1)</f>
        <v>6602656.51</v>
      </c>
      <c r="E11" s="544" t="n">
        <f aca="false">'Master Revenue'!D17</f>
        <v>6672022.15</v>
      </c>
      <c r="F11" s="679" t="n">
        <f aca="false">'Master Revenue'!D17+'Master Revenue'!D10*(0.1)</f>
        <v>6741387.79</v>
      </c>
      <c r="G11" s="680" t="n">
        <f aca="false">'Master Revenue'!D17+'Master Revenue'!D10*(0.2)</f>
        <v>6810753.43</v>
      </c>
      <c r="H11" s="565" t="s">
        <v>2326</v>
      </c>
    </row>
    <row r="12" customFormat="false" ht="16.5" hidden="false" customHeight="true" outlineLevel="0" collapsed="false">
      <c r="B12" s="113" t="s">
        <v>2327</v>
      </c>
      <c r="C12" s="598" t="n">
        <f aca="false">'Master Revenue'!D17+'Master Revenue'!D11*(-0.2)</f>
        <v>6574247.53</v>
      </c>
      <c r="D12" s="598" t="n">
        <f aca="false">'Master Revenue'!D17+'Master Revenue'!D11*(-0.1)</f>
        <v>6623134.84</v>
      </c>
      <c r="E12" s="544" t="n">
        <f aca="false">'Master Revenue'!D17</f>
        <v>6672022.15</v>
      </c>
      <c r="F12" s="679" t="n">
        <f aca="false">'Master Revenue'!D17+'Master Revenue'!D11*(0.1)</f>
        <v>6720909.46</v>
      </c>
      <c r="G12" s="680" t="n">
        <f aca="false">'Master Revenue'!D17+'Master Revenue'!D11*(0.2)</f>
        <v>6769796.77</v>
      </c>
      <c r="H12" s="565" t="s">
        <v>2328</v>
      </c>
    </row>
    <row r="13" customFormat="false" ht="16.5" hidden="false" customHeight="true" outlineLevel="0" collapsed="false">
      <c r="B13" s="113" t="s">
        <v>2329</v>
      </c>
      <c r="C13" s="598" t="n">
        <f aca="false">'Master Revenue'!D17+'Master Revenue'!D12*(-0.2)</f>
        <v>6607822.15</v>
      </c>
      <c r="D13" s="598" t="n">
        <f aca="false">'Master Revenue'!D17+'Master Revenue'!D12*(-0.1)</f>
        <v>6639922.15</v>
      </c>
      <c r="E13" s="544" t="n">
        <f aca="false">'Master Revenue'!D17</f>
        <v>6672022.15</v>
      </c>
      <c r="F13" s="679" t="n">
        <f aca="false">'Master Revenue'!D17+'Master Revenue'!D12*(0.1)</f>
        <v>6704122.15</v>
      </c>
      <c r="G13" s="680" t="n">
        <f aca="false">'Master Revenue'!D17+'Master Revenue'!D12*(0.2)</f>
        <v>6736222.15</v>
      </c>
      <c r="H13" s="565" t="s">
        <v>2330</v>
      </c>
    </row>
    <row r="14" customFormat="false" ht="16.5" hidden="false" customHeight="true" outlineLevel="0" collapsed="false">
      <c r="B14" s="113" t="s">
        <v>2331</v>
      </c>
      <c r="C14" s="598" t="n">
        <f aca="false">'Master Revenue'!D17+'Master Revenue'!D13*(-0.2)</f>
        <v>6514079.29</v>
      </c>
      <c r="D14" s="598" t="n">
        <f aca="false">'Master Revenue'!D17+'Master Revenue'!D13*(-0.1)</f>
        <v>6593050.72</v>
      </c>
      <c r="E14" s="544" t="n">
        <f aca="false">'Master Revenue'!D17</f>
        <v>6672022.15</v>
      </c>
      <c r="F14" s="679" t="n">
        <f aca="false">'Master Revenue'!D17+'Master Revenue'!D13*(0.1)</f>
        <v>6750993.58</v>
      </c>
      <c r="G14" s="680" t="n">
        <f aca="false">'Master Revenue'!D17+'Master Revenue'!D13*(0.2)</f>
        <v>6829965.01</v>
      </c>
      <c r="H14" s="565" t="s">
        <v>2332</v>
      </c>
    </row>
    <row r="15" customFormat="false" ht="16.5" hidden="false" customHeight="true" outlineLevel="0" collapsed="false">
      <c r="B15" s="113" t="s">
        <v>2333</v>
      </c>
      <c r="C15" s="598" t="n">
        <f aca="false">'Master Revenue'!D17+'Master Revenue'!D14*(-0.2)</f>
        <v>6614622.15</v>
      </c>
      <c r="D15" s="598" t="n">
        <f aca="false">'Master Revenue'!D17+'Master Revenue'!D14*(-0.1)</f>
        <v>6643322.15</v>
      </c>
      <c r="E15" s="544" t="n">
        <f aca="false">'Master Revenue'!D17</f>
        <v>6672022.15</v>
      </c>
      <c r="F15" s="679" t="n">
        <f aca="false">'Master Revenue'!D17+'Master Revenue'!D14*(0.1)</f>
        <v>6700722.15</v>
      </c>
      <c r="G15" s="680" t="n">
        <f aca="false">'Master Revenue'!D17+'Master Revenue'!D14*(0.2)</f>
        <v>6729422.15</v>
      </c>
      <c r="H15" s="565" t="s">
        <v>2334</v>
      </c>
    </row>
    <row r="16" customFormat="false" ht="16.5" hidden="false" customHeight="true" outlineLevel="0" collapsed="false">
      <c r="B16" s="113" t="s">
        <v>2335</v>
      </c>
      <c r="C16" s="598" t="n">
        <f aca="false">'Master Revenue'!D17+'Master Revenue'!D15*(-0.2)</f>
        <v>6614122.15</v>
      </c>
      <c r="D16" s="598" t="n">
        <f aca="false">'Master Revenue'!D17+'Master Revenue'!D15*(-0.1)</f>
        <v>6643072.15</v>
      </c>
      <c r="E16" s="544" t="n">
        <f aca="false">'Master Revenue'!D17</f>
        <v>6672022.15</v>
      </c>
      <c r="F16" s="679" t="n">
        <f aca="false">'Master Revenue'!D17+'Master Revenue'!D15*(0.1)</f>
        <v>6700972.15</v>
      </c>
      <c r="G16" s="680" t="n">
        <f aca="false">'Master Revenue'!D17+'Master Revenue'!D15*(0.2)</f>
        <v>6729922.15</v>
      </c>
      <c r="H16" s="565" t="s">
        <v>2336</v>
      </c>
    </row>
    <row r="17" customFormat="false" ht="15" hidden="false" customHeight="true" outlineLevel="0" collapsed="false">
      <c r="B17" s="6"/>
      <c r="G17" s="6"/>
    </row>
    <row r="18" customFormat="false" ht="15" hidden="false" customHeight="true" outlineLevel="0" collapsed="false">
      <c r="B18" s="6"/>
      <c r="G18" s="6"/>
    </row>
    <row r="19" customFormat="false" ht="33.75" hidden="false" customHeight="true" outlineLevel="0" collapsed="false">
      <c r="B19" s="321" t="s">
        <v>2337</v>
      </c>
      <c r="G19" s="6"/>
    </row>
    <row r="20" customFormat="false" ht="15" hidden="false" customHeight="true" outlineLevel="0" collapsed="false">
      <c r="B20" s="681" t="s">
        <v>2313</v>
      </c>
      <c r="C20" s="0" t="s">
        <v>2314</v>
      </c>
      <c r="D20" s="0" t="s">
        <v>2315</v>
      </c>
      <c r="E20" s="0" t="s">
        <v>608</v>
      </c>
      <c r="F20" s="0" t="s">
        <v>2316</v>
      </c>
      <c r="G20" s="6" t="s">
        <v>2317</v>
      </c>
      <c r="H20" s="0" t="s">
        <v>778</v>
      </c>
    </row>
    <row r="21" customFormat="false" ht="33.75" hidden="false" customHeight="true" outlineLevel="0" collapsed="false">
      <c r="B21" s="6" t="s">
        <v>217</v>
      </c>
      <c r="C21" s="0" t="n">
        <f aca="false">'Master Cost'!E17-'Master Cost'!C55+'Master Revenue'!D7*(-0.2)*(1-'Master Cost'!D7)</f>
        <v>2154470.75712</v>
      </c>
      <c r="D21" s="0" t="n">
        <f aca="false">'Master Cost'!E17-'Master Cost'!C55+'Master Revenue'!D7*(-0.1)*(1-'Master Cost'!D7)</f>
        <v>2207821.5068225</v>
      </c>
      <c r="E21" s="0" t="n">
        <f aca="false">'Master Cost'!E17-'Master Cost'!C55</f>
        <v>2261172.256525</v>
      </c>
      <c r="F21" s="0" t="n">
        <f aca="false">'Master Cost'!E17-'Master Cost'!C55+'Master Revenue'!D7*(0.1)*(1-'Master Cost'!D7)</f>
        <v>2314523.0062275</v>
      </c>
      <c r="G21" s="6" t="n">
        <f aca="false">'Master Cost'!E17-'Master Cost'!C55+'Master Revenue'!D7*(0.2)*(1-'Master Cost'!D7)</f>
        <v>2367873.75593</v>
      </c>
      <c r="H21" s="0" t="s">
        <v>2320</v>
      </c>
    </row>
    <row r="22" customFormat="false" ht="33.75" hidden="false" customHeight="true" outlineLevel="0" collapsed="false">
      <c r="B22" s="6" t="s">
        <v>218</v>
      </c>
      <c r="C22" s="0" t="n">
        <f aca="false">'Master Cost'!E17-'Master Cost'!C55+'Master Revenue'!D8*(-0.2)*(1-'Master Cost'!D8)</f>
        <v>2099515.856525</v>
      </c>
      <c r="D22" s="0" t="n">
        <f aca="false">'Master Cost'!E17-'Master Cost'!C55+'Master Revenue'!D8*(-0.1)*(1-'Master Cost'!D8)</f>
        <v>2180344.056525</v>
      </c>
      <c r="E22" s="0" t="n">
        <f aca="false">'Master Cost'!E17-'Master Cost'!C55</f>
        <v>2261172.256525</v>
      </c>
      <c r="F22" s="0" t="n">
        <f aca="false">'Master Cost'!E17-'Master Cost'!C55+'Master Revenue'!D8*(0.1)*(1-'Master Cost'!D8)</f>
        <v>2342000.456525</v>
      </c>
      <c r="G22" s="6" t="n">
        <f aca="false">'Master Cost'!E17-'Master Cost'!C55+'Master Revenue'!D8*(0.2)*(1-'Master Cost'!D8)</f>
        <v>2422828.656525</v>
      </c>
      <c r="H22" s="0" t="s">
        <v>2322</v>
      </c>
    </row>
    <row r="23" customFormat="false" ht="33.75" hidden="false" customHeight="true" outlineLevel="0" collapsed="false">
      <c r="B23" s="6" t="s">
        <v>145</v>
      </c>
      <c r="C23" s="0" t="n">
        <f aca="false">'Master Cost'!E17-'Master Cost'!C55+'Master Revenue'!D9*(-0.2)*(1-'Master Cost'!D9)</f>
        <v>2044762.656525</v>
      </c>
      <c r="D23" s="0" t="n">
        <f aca="false">'Master Cost'!E17-'Master Cost'!C55+'Master Revenue'!D9*(-0.1)*(1-'Master Cost'!D9)</f>
        <v>2152967.456525</v>
      </c>
      <c r="E23" s="0" t="n">
        <f aca="false">'Master Cost'!E17-'Master Cost'!C55</f>
        <v>2261172.256525</v>
      </c>
      <c r="F23" s="0" t="n">
        <f aca="false">'Master Cost'!E17-'Master Cost'!C55+'Master Revenue'!D9*(0.1)*(1-'Master Cost'!D9)</f>
        <v>2369377.056525</v>
      </c>
      <c r="G23" s="6" t="n">
        <f aca="false">'Master Cost'!E17-'Master Cost'!C55+'Master Revenue'!D9*(0.2)*(1-'Master Cost'!D9)</f>
        <v>2477581.856525</v>
      </c>
      <c r="H23" s="0" t="s">
        <v>2324</v>
      </c>
    </row>
    <row r="24" customFormat="false" ht="33.75" hidden="false" customHeight="true" outlineLevel="0" collapsed="false">
      <c r="B24" s="6" t="s">
        <v>219</v>
      </c>
      <c r="C24" s="0" t="n">
        <f aca="false">'Master Cost'!E17-'Master Cost'!C55+'Master Revenue'!D10*(-0.2)*(1-'Master Cost'!D10)</f>
        <v>2165640.656525</v>
      </c>
      <c r="D24" s="0" t="n">
        <f aca="false">'Master Cost'!E17-'Master Cost'!C55+'Master Revenue'!D10*(-0.1)*(1-'Master Cost'!D10)</f>
        <v>2213406.456525</v>
      </c>
      <c r="E24" s="0" t="n">
        <f aca="false">'Master Cost'!E17-'Master Cost'!C55</f>
        <v>2261172.256525</v>
      </c>
      <c r="F24" s="0" t="n">
        <f aca="false">'Master Cost'!E17-'Master Cost'!C55+'Master Revenue'!D10*(0.1)*(1-'Master Cost'!D10)</f>
        <v>2308938.056525</v>
      </c>
      <c r="G24" s="6" t="n">
        <f aca="false">'Master Cost'!E17-'Master Cost'!C55+'Master Revenue'!D10*(0.2)*(1-'Master Cost'!D10)</f>
        <v>2356703.856525</v>
      </c>
      <c r="H24" s="0" t="s">
        <v>2326</v>
      </c>
    </row>
    <row r="25" customFormat="false" ht="33.75" hidden="false" customHeight="true" outlineLevel="0" collapsed="false">
      <c r="B25" s="6" t="s">
        <v>151</v>
      </c>
      <c r="C25" s="0" t="n">
        <f aca="false">'Master Cost'!E17-'Master Cost'!C55+'Master Revenue'!D11*(-0.2)*(1-'Master Cost'!D11)</f>
        <v>2213204.876525</v>
      </c>
      <c r="D25" s="0" t="n">
        <f aca="false">'Master Cost'!E17-'Master Cost'!C55+'Master Revenue'!D11*(-0.1)*(1-'Master Cost'!D11)</f>
        <v>2237188.566525</v>
      </c>
      <c r="E25" s="0" t="n">
        <f aca="false">'Master Cost'!E17-'Master Cost'!C55</f>
        <v>2261172.256525</v>
      </c>
      <c r="F25" s="0" t="n">
        <f aca="false">'Master Cost'!E17-'Master Cost'!C55+'Master Revenue'!D11*(0.1)*(1-'Master Cost'!D11)</f>
        <v>2285155.946525</v>
      </c>
      <c r="G25" s="6" t="n">
        <f aca="false">'Master Cost'!E17-'Master Cost'!C55+'Master Revenue'!D11*(0.2)*(1-'Master Cost'!D11)</f>
        <v>2309139.636525</v>
      </c>
      <c r="H25" s="0" t="s">
        <v>2328</v>
      </c>
    </row>
    <row r="26" customFormat="false" ht="33.75" hidden="false" customHeight="true" outlineLevel="0" collapsed="false">
      <c r="B26" s="6" t="s">
        <v>157</v>
      </c>
      <c r="C26" s="0" t="n">
        <f aca="false">'Master Cost'!E17-'Master Cost'!C55+'Master Revenue'!D12*(-0.2)*(1-'Master Cost'!D12)</f>
        <v>2202556.256525</v>
      </c>
      <c r="D26" s="0" t="n">
        <f aca="false">'Master Cost'!E17-'Master Cost'!C55+'Master Revenue'!D12*(-0.1)*(1-'Master Cost'!D12)</f>
        <v>2231864.256525</v>
      </c>
      <c r="E26" s="0" t="n">
        <f aca="false">'Master Cost'!E17-'Master Cost'!C55</f>
        <v>2261172.256525</v>
      </c>
      <c r="F26" s="0" t="n">
        <f aca="false">'Master Cost'!E17-'Master Cost'!C55+'Master Revenue'!D12*(0.1)*(1-'Master Cost'!D12)</f>
        <v>2290480.256525</v>
      </c>
      <c r="G26" s="6" t="n">
        <f aca="false">'Master Cost'!E17-'Master Cost'!C55+'Master Revenue'!D12*(0.2)*(1-'Master Cost'!D12)</f>
        <v>2319788.256525</v>
      </c>
      <c r="H26" s="0" t="s">
        <v>2330</v>
      </c>
    </row>
    <row r="27" customFormat="false" ht="33.75" hidden="false" customHeight="true" outlineLevel="0" collapsed="false">
      <c r="B27" s="6" t="s">
        <v>143</v>
      </c>
      <c r="C27" s="0" t="n">
        <f aca="false">'Master Cost'!E17-'Master Cost'!C55+'Master Revenue'!D13*(-0.2)*(1-'Master Cost'!D13)</f>
        <v>2219118.151725</v>
      </c>
      <c r="D27" s="0" t="n">
        <f aca="false">'Master Cost'!E17-'Master Cost'!C55+'Master Revenue'!D13*(-0.1)*(1-'Master Cost'!D13)</f>
        <v>2240145.204125</v>
      </c>
      <c r="E27" s="0" t="n">
        <f aca="false">'Master Cost'!E17-'Master Cost'!C55</f>
        <v>2261172.256525</v>
      </c>
      <c r="F27" s="0" t="n">
        <f aca="false">'Master Cost'!E17-'Master Cost'!C55+'Master Revenue'!D13*(0.1)*(1-'Master Cost'!D13)</f>
        <v>2282199.308925</v>
      </c>
      <c r="G27" s="6" t="n">
        <f aca="false">'Master Cost'!E17-'Master Cost'!C55+'Master Revenue'!D13*(0.2)*(1-'Master Cost'!D13)</f>
        <v>2303226.361325</v>
      </c>
      <c r="H27" s="0" t="s">
        <v>2332</v>
      </c>
    </row>
    <row r="28" customFormat="false" ht="33.75" hidden="false" customHeight="true" outlineLevel="0" collapsed="false">
      <c r="B28" s="6" t="s">
        <v>153</v>
      </c>
      <c r="C28" s="0" t="n">
        <f aca="false">'Master Cost'!E17-'Master Cost'!C55+'Master Revenue'!D14*(-0.2)*(1-'Master Cost'!D14)</f>
        <v>2224964.256525</v>
      </c>
      <c r="D28" s="0" t="n">
        <f aca="false">'Master Cost'!E17-'Master Cost'!C55+'Master Revenue'!D14*(-0.1)*(1-'Master Cost'!D14)</f>
        <v>2243068.256525</v>
      </c>
      <c r="E28" s="0" t="n">
        <f aca="false">'Master Cost'!E17-'Master Cost'!C55</f>
        <v>2261172.256525</v>
      </c>
      <c r="F28" s="0" t="n">
        <f aca="false">'Master Cost'!E17-'Master Cost'!C55+'Master Revenue'!D14*(0.1)*(1-'Master Cost'!D14)</f>
        <v>2279276.256525</v>
      </c>
      <c r="G28" s="6" t="n">
        <f aca="false">'Master Cost'!E17-'Master Cost'!C55+'Master Revenue'!D14*(0.2)*(1-'Master Cost'!D14)</f>
        <v>2297380.256525</v>
      </c>
      <c r="H28" s="0" t="s">
        <v>2334</v>
      </c>
    </row>
    <row r="29" customFormat="false" ht="33.75" hidden="false" customHeight="true" outlineLevel="0" collapsed="false">
      <c r="B29" s="6" t="s">
        <v>155</v>
      </c>
      <c r="C29" s="0" t="n">
        <f aca="false">'Master Cost'!E17-'Master Cost'!C55+'Master Revenue'!D15*(-0.2)*(1-'Master Cost'!D15)</f>
        <v>2221772.256525</v>
      </c>
      <c r="D29" s="0" t="n">
        <f aca="false">'Master Cost'!E17-'Master Cost'!C55+'Master Revenue'!D15*(-0.1)*(1-'Master Cost'!D15)</f>
        <v>2241472.256525</v>
      </c>
      <c r="E29" s="0" t="n">
        <f aca="false">'Master Cost'!E17-'Master Cost'!C55</f>
        <v>2261172.256525</v>
      </c>
      <c r="F29" s="0" t="n">
        <f aca="false">'Master Cost'!E17-'Master Cost'!C55+'Master Revenue'!D15*(0.1)*(1-'Master Cost'!D15)</f>
        <v>2280872.256525</v>
      </c>
      <c r="G29" s="6" t="n">
        <f aca="false">'Master Cost'!E17-'Master Cost'!C55+'Master Revenue'!D15*(0.2)*(1-'Master Cost'!D15)</f>
        <v>2300572.256525</v>
      </c>
      <c r="H29" s="0" t="s">
        <v>2336</v>
      </c>
    </row>
    <row r="30" customFormat="false" ht="15" hidden="false" customHeight="true" outlineLevel="0" collapsed="false">
      <c r="B30" s="6"/>
      <c r="G30" s="6"/>
    </row>
    <row r="31" customFormat="false" ht="33.75" hidden="false" customHeight="true" outlineLevel="0" collapsed="false">
      <c r="B31" s="159" t="s">
        <v>2338</v>
      </c>
      <c r="G31" s="6"/>
    </row>
    <row r="32" customFormat="false" ht="15" hidden="false" customHeight="true" outlineLevel="0" collapsed="false">
      <c r="B32" s="6" t="s">
        <v>2313</v>
      </c>
      <c r="C32" s="0" t="s">
        <v>2339</v>
      </c>
      <c r="D32" s="0" t="s">
        <v>2340</v>
      </c>
      <c r="E32" s="0" t="s">
        <v>2341</v>
      </c>
      <c r="F32" s="0" t="s">
        <v>2342</v>
      </c>
      <c r="G32" s="6"/>
      <c r="H32" s="0" t="s">
        <v>707</v>
      </c>
    </row>
    <row r="33" customFormat="false" ht="15" hidden="false" customHeight="true" outlineLevel="0" collapsed="false">
      <c r="B33" s="6" t="s">
        <v>217</v>
      </c>
      <c r="C33" s="0" t="n">
        <f aca="false">F21-E21</f>
        <v>53350.7497025002</v>
      </c>
      <c r="D33" s="0" t="n">
        <f aca="false">D21-E21</f>
        <v>-53350.7497025002</v>
      </c>
      <c r="E33" s="0" t="n">
        <f aca="false">RANK(F33,$F$33:$F$41,0)</f>
        <v>3</v>
      </c>
      <c r="F33" s="0" t="n">
        <f aca="false">ABS(C33)</f>
        <v>53350.7497025002</v>
      </c>
      <c r="G33" s="6"/>
    </row>
    <row r="34" customFormat="false" ht="15" hidden="false" customHeight="true" outlineLevel="0" collapsed="false">
      <c r="B34" s="6" t="s">
        <v>218</v>
      </c>
      <c r="C34" s="0" t="n">
        <f aca="false">F22-E22</f>
        <v>80828.2000000002</v>
      </c>
      <c r="D34" s="0" t="n">
        <f aca="false">D22-E22</f>
        <v>-80828.2000000002</v>
      </c>
      <c r="E34" s="0" t="n">
        <f aca="false">RANK(F34,$F$33:$F$41,0)</f>
        <v>2</v>
      </c>
      <c r="F34" s="0" t="n">
        <f aca="false">ABS(C34)</f>
        <v>80828.2000000002</v>
      </c>
      <c r="G34" s="6"/>
    </row>
    <row r="35" customFormat="false" ht="15" hidden="false" customHeight="true" outlineLevel="0" collapsed="false">
      <c r="B35" s="6" t="s">
        <v>145</v>
      </c>
      <c r="C35" s="0" t="n">
        <f aca="false">F23-E23</f>
        <v>108204.8</v>
      </c>
      <c r="D35" s="0" t="n">
        <f aca="false">D23-E23</f>
        <v>-108204.8</v>
      </c>
      <c r="E35" s="0" t="n">
        <f aca="false">RANK(F35,$F$33:$F$41,0)</f>
        <v>1</v>
      </c>
      <c r="F35" s="0" t="n">
        <f aca="false">ABS(C35)</f>
        <v>108204.8</v>
      </c>
      <c r="G35" s="6"/>
    </row>
    <row r="36" customFormat="false" ht="15" hidden="false" customHeight="true" outlineLevel="0" collapsed="false">
      <c r="B36" s="6" t="s">
        <v>219</v>
      </c>
      <c r="C36" s="0" t="n">
        <f aca="false">F24-E24</f>
        <v>47765.7999999998</v>
      </c>
      <c r="D36" s="0" t="n">
        <f aca="false">D24-E24</f>
        <v>-47765.7999999998</v>
      </c>
      <c r="E36" s="0" t="n">
        <f aca="false">RANK(F36,$F$33:$F$41,0)</f>
        <v>4</v>
      </c>
      <c r="F36" s="0" t="n">
        <f aca="false">ABS(C36)</f>
        <v>47765.7999999998</v>
      </c>
      <c r="G36" s="6"/>
    </row>
    <row r="37" customFormat="false" ht="15" hidden="false" customHeight="true" outlineLevel="0" collapsed="false">
      <c r="B37" s="6" t="s">
        <v>151</v>
      </c>
      <c r="C37" s="0" t="n">
        <f aca="false">F25-E25</f>
        <v>23983.6899999999</v>
      </c>
      <c r="D37" s="0" t="n">
        <f aca="false">D25-E25</f>
        <v>-23983.6899999999</v>
      </c>
      <c r="E37" s="0" t="n">
        <f aca="false">RANK(F37,$F$33:$F$41,0)</f>
        <v>6</v>
      </c>
      <c r="F37" s="0" t="n">
        <f aca="false">ABS(C37)</f>
        <v>23983.6899999999</v>
      </c>
      <c r="G37" s="6"/>
    </row>
    <row r="38" customFormat="false" ht="15" hidden="false" customHeight="true" outlineLevel="0" collapsed="false">
      <c r="B38" s="6" t="s">
        <v>157</v>
      </c>
      <c r="C38" s="0" t="n">
        <f aca="false">F26-E26</f>
        <v>29308</v>
      </c>
      <c r="D38" s="0" t="n">
        <f aca="false">D26-E26</f>
        <v>-29308</v>
      </c>
      <c r="E38" s="0" t="n">
        <f aca="false">RANK(F38,$F$33:$F$41,0)</f>
        <v>5</v>
      </c>
      <c r="F38" s="0" t="n">
        <f aca="false">ABS(C38)</f>
        <v>29308</v>
      </c>
      <c r="G38" s="6"/>
    </row>
    <row r="39" customFormat="false" ht="15" hidden="false" customHeight="true" outlineLevel="0" collapsed="false">
      <c r="B39" s="6" t="s">
        <v>143</v>
      </c>
      <c r="C39" s="0" t="n">
        <f aca="false">F27-E27</f>
        <v>21027.0523999999</v>
      </c>
      <c r="D39" s="0" t="n">
        <f aca="false">D27-E27</f>
        <v>-21027.0523999999</v>
      </c>
      <c r="E39" s="0" t="n">
        <f aca="false">RANK(F39,$F$33:$F$41,0)</f>
        <v>7</v>
      </c>
      <c r="F39" s="0" t="n">
        <f aca="false">ABS(C39)</f>
        <v>21027.0523999999</v>
      </c>
      <c r="G39" s="6"/>
    </row>
    <row r="40" customFormat="false" ht="15" hidden="false" customHeight="true" outlineLevel="0" collapsed="false">
      <c r="B40" s="6" t="s">
        <v>153</v>
      </c>
      <c r="C40" s="0" t="n">
        <f aca="false">F28-E28</f>
        <v>18104</v>
      </c>
      <c r="D40" s="0" t="n">
        <f aca="false">D28-E28</f>
        <v>-18104</v>
      </c>
      <c r="E40" s="0" t="n">
        <f aca="false">RANK(F40,$F$33:$F$41,0)</f>
        <v>9</v>
      </c>
      <c r="F40" s="0" t="n">
        <f aca="false">ABS(C40)</f>
        <v>18104</v>
      </c>
      <c r="G40" s="6"/>
    </row>
    <row r="41" customFormat="false" ht="15" hidden="false" customHeight="true" outlineLevel="0" collapsed="false">
      <c r="B41" s="6" t="s">
        <v>155</v>
      </c>
      <c r="C41" s="0" t="n">
        <f aca="false">F29-E29</f>
        <v>19700</v>
      </c>
      <c r="D41" s="0" t="n">
        <f aca="false">D29-E29</f>
        <v>-19700</v>
      </c>
      <c r="E41" s="0" t="n">
        <f aca="false">RANK(F41,$F$33:$F$41,0)</f>
        <v>8</v>
      </c>
      <c r="F41" s="0" t="n">
        <f aca="false">ABS(C41)</f>
        <v>19700</v>
      </c>
      <c r="G41" s="6"/>
    </row>
    <row r="42" customFormat="false" ht="15" hidden="false" customHeight="true" outlineLevel="0" collapsed="false">
      <c r="B42" s="6"/>
      <c r="G42" s="6"/>
    </row>
    <row r="43" customFormat="false" ht="15" hidden="false" customHeight="true" outlineLevel="0" collapsed="false">
      <c r="B43" s="159" t="s">
        <v>2343</v>
      </c>
      <c r="G43" s="6"/>
    </row>
    <row r="44" customFormat="false" ht="48.75" hidden="false" customHeight="true" outlineLevel="0" collapsed="false">
      <c r="B44" s="6" t="s">
        <v>2344</v>
      </c>
      <c r="G44" s="6"/>
    </row>
    <row r="45" customFormat="false" ht="48.75" hidden="false" customHeight="true" outlineLevel="0" collapsed="false">
      <c r="B45" s="6" t="s">
        <v>2345</v>
      </c>
      <c r="G45" s="6"/>
    </row>
    <row r="46" customFormat="false" ht="33.75" hidden="false" customHeight="true" outlineLevel="0" collapsed="false">
      <c r="B46" s="6" t="s">
        <v>2346</v>
      </c>
      <c r="G46" s="6"/>
    </row>
    <row r="47" customFormat="false" ht="33.75" hidden="false" customHeight="true" outlineLevel="0" collapsed="false">
      <c r="B47" s="6" t="s">
        <v>2347</v>
      </c>
      <c r="G47" s="6"/>
    </row>
    <row r="48" customFormat="false" ht="48.75" hidden="false" customHeight="true" outlineLevel="0" collapsed="false">
      <c r="B48" s="6" t="s">
        <v>2348</v>
      </c>
      <c r="G48" s="6"/>
    </row>
    <row r="55" customFormat="false" ht="21.75" hidden="false" customHeight="true" outlineLevel="0" collapsed="false">
      <c r="B55" s="139" t="s">
        <v>2349</v>
      </c>
      <c r="C55" s="139"/>
      <c r="D55" s="139"/>
      <c r="E55" s="139"/>
      <c r="F55" s="139"/>
      <c r="G55" s="139"/>
      <c r="H55" s="139"/>
      <c r="I55" s="139"/>
      <c r="J55" s="139"/>
      <c r="K55" s="139"/>
    </row>
    <row r="57" customFormat="false" ht="15" hidden="false" customHeight="true" outlineLevel="0" collapsed="false">
      <c r="B57" s="665" t="s">
        <v>2350</v>
      </c>
      <c r="C57" s="665" t="s">
        <v>2351</v>
      </c>
      <c r="D57" s="665" t="s">
        <v>2352</v>
      </c>
      <c r="E57" s="665" t="s">
        <v>2353</v>
      </c>
      <c r="F57" s="665" t="s">
        <v>2354</v>
      </c>
      <c r="G57" s="665" t="s">
        <v>2355</v>
      </c>
      <c r="H57" s="665" t="s">
        <v>2356</v>
      </c>
      <c r="I57" s="665" t="s">
        <v>2357</v>
      </c>
    </row>
    <row r="58" customFormat="false" ht="19.5" hidden="false" customHeight="true" outlineLevel="0" collapsed="false">
      <c r="B58" s="0" t="s">
        <v>2358</v>
      </c>
      <c r="C58" s="668" t="s">
        <v>2359</v>
      </c>
      <c r="D58" s="668" t="s">
        <v>2360</v>
      </c>
      <c r="E58" s="668" t="s">
        <v>2361</v>
      </c>
      <c r="F58" s="682" t="n">
        <v>0.105</v>
      </c>
      <c r="G58" s="144" t="n">
        <v>0.1635</v>
      </c>
      <c r="H58" s="683" t="n">
        <v>0.218</v>
      </c>
      <c r="I58" s="144" t="n">
        <f aca="false">H58-F58</f>
        <v>0.113</v>
      </c>
    </row>
    <row r="59" customFormat="false" ht="19.5" hidden="false" customHeight="true" outlineLevel="0" collapsed="false">
      <c r="B59" s="0" t="s">
        <v>2362</v>
      </c>
      <c r="C59" s="668" t="s">
        <v>2315</v>
      </c>
      <c r="D59" s="668" t="s">
        <v>608</v>
      </c>
      <c r="E59" s="668" t="s">
        <v>2316</v>
      </c>
      <c r="F59" s="682" t="n">
        <v>0.118</v>
      </c>
      <c r="G59" s="144" t="n">
        <v>0.1635</v>
      </c>
      <c r="H59" s="683" t="n">
        <v>0.207</v>
      </c>
      <c r="I59" s="144" t="n">
        <f aca="false">H59-F59</f>
        <v>0.089</v>
      </c>
    </row>
    <row r="60" customFormat="false" ht="19.5" hidden="false" customHeight="true" outlineLevel="0" collapsed="false">
      <c r="B60" s="0" t="s">
        <v>2363</v>
      </c>
      <c r="C60" s="668" t="s">
        <v>2364</v>
      </c>
      <c r="D60" s="668" t="s">
        <v>2365</v>
      </c>
      <c r="E60" s="668" t="s">
        <v>2366</v>
      </c>
      <c r="F60" s="683" t="n">
        <v>0.171</v>
      </c>
      <c r="G60" s="144" t="n">
        <v>0.1635</v>
      </c>
      <c r="H60" s="682" t="n">
        <v>0.155</v>
      </c>
      <c r="I60" s="144" t="n">
        <f aca="false">H60-F60</f>
        <v>-0.016</v>
      </c>
    </row>
    <row r="61" customFormat="false" ht="19.5" hidden="false" customHeight="true" outlineLevel="0" collapsed="false">
      <c r="B61" s="0" t="s">
        <v>2367</v>
      </c>
      <c r="C61" s="668" t="s">
        <v>2315</v>
      </c>
      <c r="D61" s="668" t="s">
        <v>608</v>
      </c>
      <c r="E61" s="668" t="s">
        <v>2316</v>
      </c>
      <c r="F61" s="683" t="n">
        <v>0.182</v>
      </c>
      <c r="G61" s="144" t="n">
        <v>0.1635</v>
      </c>
      <c r="H61" s="682" t="n">
        <v>0.146</v>
      </c>
      <c r="I61" s="144" t="n">
        <f aca="false">H61-F61</f>
        <v>-0.036</v>
      </c>
    </row>
    <row r="62" customFormat="false" ht="19.5" hidden="false" customHeight="true" outlineLevel="0" collapsed="false">
      <c r="B62" s="0" t="s">
        <v>2368</v>
      </c>
      <c r="C62" s="668" t="s">
        <v>2369</v>
      </c>
      <c r="D62" s="668" t="s">
        <v>2370</v>
      </c>
      <c r="E62" s="668" t="s">
        <v>2371</v>
      </c>
      <c r="F62" s="682" t="n">
        <v>0.151</v>
      </c>
      <c r="G62" s="144" t="n">
        <v>0.1635</v>
      </c>
      <c r="H62" s="683" t="n">
        <v>0.176</v>
      </c>
      <c r="I62" s="144" t="n">
        <f aca="false">H62-F62</f>
        <v>0.025</v>
      </c>
    </row>
    <row r="63" customFormat="false" ht="19.5" hidden="false" customHeight="true" outlineLevel="0" collapsed="false">
      <c r="B63" s="0" t="s">
        <v>2372</v>
      </c>
      <c r="C63" s="668" t="s">
        <v>2315</v>
      </c>
      <c r="D63" s="668" t="s">
        <v>608</v>
      </c>
      <c r="E63" s="668" t="s">
        <v>2316</v>
      </c>
      <c r="F63" s="683" t="n">
        <v>0.179</v>
      </c>
      <c r="G63" s="144" t="n">
        <v>0.1635</v>
      </c>
      <c r="H63" s="682" t="n">
        <v>0.149</v>
      </c>
      <c r="I63" s="144" t="n">
        <f aca="false">H63-F63</f>
        <v>-0.03</v>
      </c>
    </row>
    <row r="64" customFormat="false" ht="19.5" hidden="false" customHeight="true" outlineLevel="0" collapsed="false">
      <c r="B64" s="0" t="s">
        <v>2373</v>
      </c>
      <c r="C64" s="668" t="s">
        <v>2374</v>
      </c>
      <c r="D64" s="668" t="s">
        <v>2375</v>
      </c>
      <c r="E64" s="668" t="s">
        <v>2376</v>
      </c>
      <c r="F64" s="682" t="n">
        <v>0.139</v>
      </c>
      <c r="G64" s="144" t="n">
        <v>0.1635</v>
      </c>
      <c r="H64" s="683" t="n">
        <v>0.185</v>
      </c>
      <c r="I64" s="144" t="n">
        <f aca="false">H64-F64</f>
        <v>0.046</v>
      </c>
    </row>
    <row r="65" customFormat="false" ht="19.5" hidden="false" customHeight="true" outlineLevel="0" collapsed="false">
      <c r="B65" s="0" t="s">
        <v>2377</v>
      </c>
      <c r="C65" s="668" t="s">
        <v>2378</v>
      </c>
      <c r="D65" s="668" t="s">
        <v>2379</v>
      </c>
      <c r="E65" s="668" t="s">
        <v>2380</v>
      </c>
      <c r="F65" s="144" t="n">
        <v>0.1635</v>
      </c>
      <c r="G65" s="144" t="n">
        <v>0.1635</v>
      </c>
      <c r="H65" s="144" t="n">
        <v>0.1635</v>
      </c>
      <c r="I65" s="144" t="n">
        <f aca="false">H65-F65</f>
        <v>0</v>
      </c>
    </row>
    <row r="66" customFormat="false" ht="19.5" hidden="false" customHeight="true" outlineLevel="0" collapsed="false">
      <c r="B66" s="0" t="s">
        <v>2381</v>
      </c>
      <c r="C66" s="668" t="s">
        <v>2382</v>
      </c>
      <c r="D66" s="668" t="s">
        <v>608</v>
      </c>
      <c r="E66" s="668" t="s">
        <v>2383</v>
      </c>
      <c r="F66" s="682" t="n">
        <v>0.155</v>
      </c>
      <c r="G66" s="144" t="n">
        <v>0.1635</v>
      </c>
      <c r="H66" s="683" t="n">
        <v>0.172</v>
      </c>
      <c r="I66" s="144" t="n">
        <f aca="false">H66-F66</f>
        <v>0.017</v>
      </c>
    </row>
    <row r="67" customFormat="false" ht="19.5" hidden="false" customHeight="true" outlineLevel="0" collapsed="false">
      <c r="B67" s="0" t="s">
        <v>2384</v>
      </c>
      <c r="C67" s="668" t="s">
        <v>2385</v>
      </c>
      <c r="D67" s="668" t="s">
        <v>608</v>
      </c>
      <c r="E67" s="668" t="s">
        <v>2386</v>
      </c>
      <c r="F67" s="682" t="n">
        <v>0.158</v>
      </c>
      <c r="G67" s="144" t="n">
        <v>0.1635</v>
      </c>
      <c r="H67" s="683" t="n">
        <v>0.169</v>
      </c>
      <c r="I67" s="144" t="n">
        <f aca="false">H67-F67</f>
        <v>0.011</v>
      </c>
    </row>
    <row r="69" customFormat="false" ht="49.5" hidden="false" customHeight="true" outlineLevel="0" collapsed="false">
      <c r="B69" s="154" t="s">
        <v>2387</v>
      </c>
      <c r="C69" s="154"/>
      <c r="D69" s="154"/>
      <c r="E69" s="154"/>
      <c r="F69" s="154"/>
      <c r="G69" s="154"/>
      <c r="H69" s="154"/>
      <c r="I69" s="154"/>
    </row>
  </sheetData>
  <mergeCells count="6">
    <mergeCell ref="B2:G2"/>
    <mergeCell ref="H2:K2"/>
    <mergeCell ref="B3:K3"/>
    <mergeCell ref="B5:K5"/>
    <mergeCell ref="B55:K55"/>
    <mergeCell ref="B69:I69"/>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L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4"/>
  </cols>
  <sheetData>
    <row r="1" customFormat="false" ht="3.75" hidden="false" customHeight="true" outlineLevel="0" collapsed="false">
      <c r="B1" s="1"/>
      <c r="C1" s="2"/>
      <c r="D1" s="1"/>
      <c r="E1" s="2"/>
      <c r="F1" s="2"/>
      <c r="G1" s="2"/>
      <c r="H1" s="2"/>
      <c r="I1" s="2"/>
    </row>
    <row r="2" customFormat="false" ht="36" hidden="false" customHeight="true" outlineLevel="0" collapsed="false">
      <c r="B2" s="88" t="s">
        <v>2388</v>
      </c>
      <c r="C2" s="88"/>
      <c r="D2" s="88"/>
      <c r="E2" s="88"/>
      <c r="F2" s="88"/>
      <c r="G2" s="88"/>
      <c r="H2" s="88"/>
      <c r="I2" s="88"/>
    </row>
    <row r="3" customFormat="false" ht="51" hidden="false" customHeight="true" outlineLevel="0" collapsed="false">
      <c r="B3" s="90" t="s">
        <v>2389</v>
      </c>
      <c r="C3" s="90"/>
      <c r="D3" s="90"/>
      <c r="E3" s="90"/>
      <c r="F3" s="90"/>
      <c r="G3" s="90"/>
      <c r="H3" s="90"/>
      <c r="I3" s="90"/>
    </row>
    <row r="4" customFormat="false" ht="15" hidden="false" customHeight="true" outlineLevel="0" collapsed="false">
      <c r="B4" s="6"/>
      <c r="D4" s="6"/>
    </row>
    <row r="5" customFormat="false" ht="36" hidden="false" customHeight="true" outlineLevel="0" collapsed="false">
      <c r="B5" s="51" t="s">
        <v>2390</v>
      </c>
      <c r="C5" s="51"/>
      <c r="D5" s="51"/>
      <c r="E5" s="51"/>
      <c r="F5" s="51"/>
      <c r="G5" s="51"/>
      <c r="H5" s="51"/>
      <c r="I5" s="51"/>
    </row>
    <row r="6" customFormat="false" ht="15" hidden="false" customHeight="true" outlineLevel="0" collapsed="false">
      <c r="B6" s="6"/>
      <c r="D6" s="6"/>
    </row>
    <row r="7" customFormat="false" ht="36" hidden="false" customHeight="true" outlineLevel="0" collapsed="false">
      <c r="B7" s="126" t="s">
        <v>2391</v>
      </c>
      <c r="C7" s="684" t="n">
        <f aca="false">CapEx!E55</f>
        <v>19090000</v>
      </c>
      <c r="D7" s="128" t="str">
        <f aca="false">"⊙ Cash CapEx only (excludes $"&amp;TEXT(CapEx!E56/1000000,"0.00")&amp;"M contributed lessor, which doesn't hit cash flow)"</f>
        <v>⊙ Cash CapEx only (excludes $9.19M contributed lessor, which doesn't hit cash flow)</v>
      </c>
    </row>
    <row r="8" customFormat="false" ht="15" hidden="false" customHeight="true" outlineLevel="0" collapsed="false">
      <c r="B8" s="113" t="s">
        <v>2392</v>
      </c>
      <c r="C8" s="398" t="n">
        <v>0.125</v>
      </c>
      <c r="D8" s="134" t="s">
        <v>2393</v>
      </c>
      <c r="E8" s="134"/>
      <c r="F8" s="134"/>
      <c r="G8" s="134"/>
      <c r="H8" s="134"/>
      <c r="I8" s="134"/>
    </row>
    <row r="9" customFormat="false" ht="15" hidden="false" customHeight="true" outlineLevel="0" collapsed="false">
      <c r="B9" s="113" t="s">
        <v>2394</v>
      </c>
      <c r="C9" s="398" t="n">
        <v>0.02</v>
      </c>
      <c r="D9" s="134" t="s">
        <v>2395</v>
      </c>
      <c r="E9" s="134"/>
      <c r="F9" s="134"/>
      <c r="G9" s="134"/>
      <c r="H9" s="134"/>
      <c r="I9" s="134"/>
    </row>
    <row r="10" customFormat="false" ht="18" hidden="false" customHeight="true" outlineLevel="0" collapsed="false">
      <c r="B10" s="126" t="s">
        <v>2396</v>
      </c>
      <c r="C10" s="398" t="n">
        <v>0.155</v>
      </c>
      <c r="D10" s="134" t="s">
        <v>2397</v>
      </c>
      <c r="E10" s="134"/>
      <c r="F10" s="134"/>
      <c r="G10" s="134"/>
      <c r="H10" s="134"/>
      <c r="I10" s="134"/>
    </row>
    <row r="11" customFormat="false" ht="18" hidden="false" customHeight="true" outlineLevel="0" collapsed="false">
      <c r="B11" s="126" t="s">
        <v>2398</v>
      </c>
      <c r="C11" s="398" t="n">
        <v>0.02</v>
      </c>
      <c r="D11" s="134" t="s">
        <v>2399</v>
      </c>
      <c r="E11" s="134"/>
      <c r="F11" s="134"/>
      <c r="G11" s="134"/>
      <c r="H11" s="134"/>
      <c r="I11" s="134"/>
    </row>
    <row r="12" customFormat="false" ht="15" hidden="false" customHeight="true" outlineLevel="0" collapsed="false">
      <c r="B12" s="6"/>
      <c r="D12" s="6"/>
    </row>
    <row r="13" customFormat="false" ht="21.75" hidden="false" customHeight="true" outlineLevel="0" collapsed="false">
      <c r="B13" s="51" t="s">
        <v>2400</v>
      </c>
      <c r="C13" s="51"/>
      <c r="D13" s="51"/>
      <c r="E13" s="51"/>
      <c r="F13" s="51"/>
      <c r="G13" s="51"/>
      <c r="H13" s="51"/>
      <c r="I13" s="51"/>
    </row>
    <row r="14" customFormat="false" ht="21.75" hidden="false" customHeight="true" outlineLevel="0" collapsed="false">
      <c r="B14" s="97" t="s">
        <v>666</v>
      </c>
      <c r="C14" s="98" t="s">
        <v>760</v>
      </c>
      <c r="D14" s="99" t="s">
        <v>908</v>
      </c>
      <c r="E14" s="98" t="s">
        <v>765</v>
      </c>
      <c r="F14" s="98" t="s">
        <v>770</v>
      </c>
      <c r="G14" s="98" t="s">
        <v>909</v>
      </c>
      <c r="H14" s="98" t="s">
        <v>910</v>
      </c>
      <c r="I14" s="98" t="s">
        <v>911</v>
      </c>
      <c r="J14" s="98" t="s">
        <v>912</v>
      </c>
      <c r="K14" s="98" t="s">
        <v>1200</v>
      </c>
      <c r="L14" s="98" t="s">
        <v>1201</v>
      </c>
    </row>
    <row r="15" customFormat="false" ht="18" hidden="false" customHeight="true" outlineLevel="0" collapsed="false">
      <c r="B15" s="126" t="s">
        <v>2401</v>
      </c>
      <c r="C15" s="385" t="n">
        <f aca="false">'Exit &amp; Returns'!C13</f>
        <v>1508583.94025325</v>
      </c>
      <c r="D15" s="386" t="n">
        <f aca="false">'Exit &amp; Returns'!D13</f>
        <v>1836247.0817155</v>
      </c>
      <c r="E15" s="385" t="n">
        <f aca="false">'Exit &amp; Returns'!E13</f>
        <v>2159351.87463882</v>
      </c>
      <c r="F15" s="385" t="n">
        <f aca="false">'Exit &amp; Returns'!F13</f>
        <v>2106139.43959299</v>
      </c>
      <c r="G15" s="385" t="n">
        <f aca="false">'Exit &amp; Returns'!G13</f>
        <v>2342928.92912408</v>
      </c>
      <c r="H15" s="385" t="n">
        <f aca="false">'Exit &amp; Returns'!H13</f>
        <v>2379432.31922085</v>
      </c>
      <c r="I15" s="385" t="n">
        <f aca="false">'Exit &amp; Returns'!I13</f>
        <v>2442622.99128334</v>
      </c>
      <c r="J15" s="385" t="n">
        <f aca="false">'Exit &amp; Returns'!J13</f>
        <v>2511279.95259954</v>
      </c>
      <c r="K15" s="385" t="n">
        <f aca="false">'Exit &amp; Returns'!K13</f>
        <v>2453533.13341053</v>
      </c>
      <c r="L15" s="385" t="n">
        <f aca="false">'Exit &amp; Returns'!L13</f>
        <v>2394053.90964585</v>
      </c>
    </row>
    <row r="16" customFormat="false" ht="18" hidden="false" customHeight="true" outlineLevel="0" collapsed="false">
      <c r="B16" s="126" t="s">
        <v>2402</v>
      </c>
      <c r="C16" s="361" t="n">
        <f aca="false">-C15*$C$10</f>
        <v>-233830.510739254</v>
      </c>
      <c r="D16" s="362" t="n">
        <f aca="false">-D15*$C$10</f>
        <v>-284618.297665902</v>
      </c>
      <c r="E16" s="361" t="n">
        <f aca="false">-E15*$C$10</f>
        <v>-334699.540569018</v>
      </c>
      <c r="F16" s="361" t="n">
        <f aca="false">-F15*$C$10</f>
        <v>-326451.613136913</v>
      </c>
      <c r="G16" s="361" t="n">
        <f aca="false">-G15*$C$10</f>
        <v>-363153.984014233</v>
      </c>
      <c r="H16" s="361" t="n">
        <f aca="false">-H15*$C$10</f>
        <v>-368812.009479232</v>
      </c>
      <c r="I16" s="361" t="n">
        <f aca="false">-I15*$C$10</f>
        <v>-378606.563648918</v>
      </c>
      <c r="J16" s="361" t="n">
        <f aca="false">-J15*$C$10</f>
        <v>-389248.392652929</v>
      </c>
      <c r="K16" s="361" t="n">
        <f aca="false">-K15*$C$10</f>
        <v>-380297.635678632</v>
      </c>
      <c r="L16" s="361" t="n">
        <f aca="false">-L15*$C$10</f>
        <v>-371078.355995106</v>
      </c>
    </row>
    <row r="17" customFormat="false" ht="18" hidden="false" customHeight="true" outlineLevel="0" collapsed="false">
      <c r="B17" s="126" t="s">
        <v>2187</v>
      </c>
      <c r="C17" s="361" t="n">
        <f aca="false">-'Exit &amp; Returns'!C10*$C$11</f>
        <v>-106752.3544</v>
      </c>
      <c r="D17" s="362" t="n">
        <f aca="false">-'Exit &amp; Returns'!D10*$C$11</f>
        <v>-120096.3987</v>
      </c>
      <c r="E17" s="361" t="n">
        <f aca="false">-'Exit &amp; Returns'!E10*$C$11</f>
        <v>-133440.443</v>
      </c>
      <c r="F17" s="361" t="n">
        <f aca="false">-'Exit &amp; Returns'!F10*$C$11</f>
        <v>-133440.443</v>
      </c>
      <c r="G17" s="361" t="n">
        <f aca="false">-'Exit &amp; Returns'!G10*$C$11</f>
        <v>-140112.46515</v>
      </c>
      <c r="H17" s="361" t="n">
        <f aca="false">-'Exit &amp; Returns'!H10*$C$11</f>
        <v>-144315.8391045</v>
      </c>
      <c r="I17" s="361" t="n">
        <f aca="false">-'Exit &amp; Returns'!I10*$C$11</f>
        <v>-148645.314277635</v>
      </c>
      <c r="J17" s="361" t="n">
        <f aca="false">-'Exit &amp; Returns'!J10*$C$11</f>
        <v>-153104.673705964</v>
      </c>
      <c r="K17" s="361" t="n">
        <f aca="false">-'Exit &amp; Returns'!K10*$C$11</f>
        <v>-153104.673705964</v>
      </c>
      <c r="L17" s="361" t="n">
        <f aca="false">-'Exit &amp; Returns'!L10*$C$11</f>
        <v>-153104.673705964</v>
      </c>
    </row>
    <row r="18" customFormat="false" ht="24" hidden="false" customHeight="true" outlineLevel="0" collapsed="false">
      <c r="B18" s="137" t="s">
        <v>2403</v>
      </c>
      <c r="C18" s="329" t="n">
        <f aca="false">C15+C16+C17</f>
        <v>1168001.075114</v>
      </c>
      <c r="D18" s="389" t="n">
        <f aca="false">D15+D16+D17</f>
        <v>1431532.3853496</v>
      </c>
      <c r="E18" s="329" t="n">
        <f aca="false">E15+E16+E17</f>
        <v>1691211.89106981</v>
      </c>
      <c r="F18" s="329" t="n">
        <f aca="false">F15+F16+F17</f>
        <v>1646247.38345607</v>
      </c>
      <c r="G18" s="329" t="n">
        <f aca="false">G15+G16+G17</f>
        <v>1839662.47995985</v>
      </c>
      <c r="H18" s="329" t="n">
        <f aca="false">H15+H16+H17</f>
        <v>1866304.47063712</v>
      </c>
      <c r="I18" s="329" t="n">
        <f aca="false">I15+I16+I17</f>
        <v>1915371.11335679</v>
      </c>
      <c r="J18" s="329" t="n">
        <f aca="false">J15+J16+J17</f>
        <v>1968926.88624065</v>
      </c>
      <c r="K18" s="329" t="n">
        <f aca="false">K15+K16+K17</f>
        <v>1920130.82402593</v>
      </c>
      <c r="L18" s="329" t="n">
        <f aca="false">L15+L16+L17</f>
        <v>1869870.87994478</v>
      </c>
    </row>
    <row r="19" customFormat="false" ht="18" hidden="false" customHeight="true" outlineLevel="0" collapsed="false">
      <c r="B19" s="108" t="s">
        <v>2404</v>
      </c>
      <c r="C19" s="685" t="n">
        <f aca="false">1/(1+$C$8)^1</f>
        <v>0.888888888888889</v>
      </c>
      <c r="D19" s="686" t="n">
        <f aca="false">1/(1+$C$8)^2</f>
        <v>0.790123456790123</v>
      </c>
      <c r="E19" s="685" t="n">
        <f aca="false">1/(1+$C$8)^3</f>
        <v>0.702331961591221</v>
      </c>
      <c r="F19" s="685" t="n">
        <f aca="false">1/(1+$C$8)^4</f>
        <v>0.624295076969974</v>
      </c>
      <c r="G19" s="685" t="n">
        <f aca="false">1/(1+$C$8)^5</f>
        <v>0.554928957306644</v>
      </c>
      <c r="H19" s="685" t="n">
        <f aca="false">1/(1+$C$8)^6</f>
        <v>0.493270184272572</v>
      </c>
      <c r="I19" s="685" t="n">
        <f aca="false">1/(1+$C$8)^7</f>
        <v>0.438462386020064</v>
      </c>
      <c r="J19" s="685" t="n">
        <f aca="false">1/(1+$C$8)^8</f>
        <v>0.389744343128946</v>
      </c>
      <c r="K19" s="685" t="n">
        <f aca="false">1/(1+$C$8)^9</f>
        <v>0.346439416114619</v>
      </c>
      <c r="L19" s="685" t="n">
        <f aca="false">1/(1+$C$8)^10</f>
        <v>0.307946147657439</v>
      </c>
    </row>
    <row r="20" customFormat="false" ht="18" hidden="false" customHeight="true" outlineLevel="0" collapsed="false">
      <c r="B20" s="126" t="s">
        <v>2405</v>
      </c>
      <c r="C20" s="648" t="n">
        <f aca="false">C18*C19</f>
        <v>1038223.17787911</v>
      </c>
      <c r="D20" s="687" t="n">
        <f aca="false">D18*D19</f>
        <v>1131087.31681943</v>
      </c>
      <c r="E20" s="648" t="n">
        <f aca="false">E18*E19</f>
        <v>1187792.16492145</v>
      </c>
      <c r="F20" s="648" t="n">
        <f aca="false">F18*F19</f>
        <v>1027744.13696633</v>
      </c>
      <c r="G20" s="648" t="n">
        <f aca="false">G18*G19</f>
        <v>1020881.98180027</v>
      </c>
      <c r="H20" s="648" t="n">
        <f aca="false">H18*H19</f>
        <v>920592.350139897</v>
      </c>
      <c r="I20" s="648" t="n">
        <f aca="false">I18*I19</f>
        <v>839818.188476325</v>
      </c>
      <c r="J20" s="648" t="n">
        <f aca="false">J18*J19</f>
        <v>767378.115946782</v>
      </c>
      <c r="K20" s="648" t="n">
        <f aca="false">K18*K19</f>
        <v>665209.001539225</v>
      </c>
      <c r="L20" s="648" t="n">
        <f aca="false">L18*L19</f>
        <v>575819.534095819</v>
      </c>
    </row>
    <row r="21" customFormat="false" ht="15" hidden="false" customHeight="true" outlineLevel="0" collapsed="false">
      <c r="B21" s="6"/>
      <c r="D21" s="6"/>
    </row>
    <row r="22" customFormat="false" ht="21.75" hidden="false" customHeight="true" outlineLevel="0" collapsed="false">
      <c r="B22" s="51" t="s">
        <v>2406</v>
      </c>
      <c r="C22" s="51"/>
      <c r="D22" s="51"/>
      <c r="E22" s="51"/>
      <c r="F22" s="51"/>
      <c r="G22" s="51"/>
      <c r="H22" s="51"/>
      <c r="I22" s="51"/>
    </row>
    <row r="23" customFormat="false" ht="18" hidden="false" customHeight="true" outlineLevel="0" collapsed="false">
      <c r="B23" s="126" t="s">
        <v>2407</v>
      </c>
      <c r="C23" s="395" t="n">
        <f aca="false">SUM(C20:L20)</f>
        <v>9174545.96858465</v>
      </c>
      <c r="D23" s="6"/>
    </row>
    <row r="24" customFormat="false" ht="36" hidden="false" customHeight="true" outlineLevel="0" collapsed="false">
      <c r="B24" s="126" t="s">
        <v>2408</v>
      </c>
      <c r="C24" s="395" t="n">
        <f aca="false">L18*(1+$C$9)/($C$8-$C$9)</f>
        <v>18164459.9766064</v>
      </c>
      <c r="D24" s="6"/>
    </row>
    <row r="25" customFormat="false" ht="18" hidden="false" customHeight="true" outlineLevel="0" collapsed="false">
      <c r="B25" s="126" t="s">
        <v>2409</v>
      </c>
      <c r="C25" s="395" t="n">
        <f aca="false">C24*L19</f>
        <v>5593675.47407367</v>
      </c>
      <c r="D25" s="6"/>
    </row>
    <row r="26" customFormat="false" ht="15" hidden="false" customHeight="true" outlineLevel="0" collapsed="false">
      <c r="B26" s="113" t="s">
        <v>2410</v>
      </c>
      <c r="C26" s="443" t="n">
        <f aca="false">-C7</f>
        <v>-19090000</v>
      </c>
      <c r="D26" s="6"/>
    </row>
    <row r="27" customFormat="false" ht="36" hidden="false" customHeight="true" outlineLevel="0" collapsed="false">
      <c r="B27" s="335" t="s">
        <v>2411</v>
      </c>
      <c r="C27" s="336" t="n">
        <f aca="false">C23+C25+C26</f>
        <v>-4321778.55734169</v>
      </c>
      <c r="D27" s="338" t="s">
        <v>2412</v>
      </c>
      <c r="E27" s="338"/>
      <c r="F27" s="338"/>
      <c r="G27" s="338"/>
      <c r="H27" s="338"/>
      <c r="I27" s="338"/>
    </row>
    <row r="28" customFormat="false" ht="15" hidden="false" customHeight="true" outlineLevel="0" collapsed="false">
      <c r="B28" s="6"/>
      <c r="D28" s="6"/>
    </row>
    <row r="29" customFormat="false" ht="15" hidden="false" customHeight="true" outlineLevel="0" collapsed="false">
      <c r="B29" s="6"/>
      <c r="D29" s="6"/>
    </row>
    <row r="30" customFormat="false" ht="36" hidden="false" customHeight="true" outlineLevel="0" collapsed="false">
      <c r="B30" s="51" t="s">
        <v>2413</v>
      </c>
      <c r="C30" s="51"/>
      <c r="D30" s="51"/>
      <c r="E30" s="51"/>
      <c r="F30" s="51"/>
      <c r="G30" s="51"/>
      <c r="H30" s="51"/>
      <c r="I30" s="51"/>
    </row>
    <row r="31" customFormat="false" ht="51" hidden="false" customHeight="true" outlineLevel="0" collapsed="false">
      <c r="B31" s="85" t="s">
        <v>2414</v>
      </c>
      <c r="C31" s="85"/>
      <c r="D31" s="85"/>
      <c r="E31" s="85"/>
      <c r="F31" s="85"/>
      <c r="G31" s="85"/>
      <c r="H31" s="85"/>
      <c r="I31" s="85"/>
    </row>
    <row r="32" customFormat="false" ht="36" hidden="false" customHeight="true" outlineLevel="0" collapsed="false">
      <c r="B32" s="97" t="s">
        <v>392</v>
      </c>
      <c r="C32" s="411" t="s">
        <v>137</v>
      </c>
      <c r="D32" s="99" t="s">
        <v>2415</v>
      </c>
      <c r="E32" s="411" t="s">
        <v>2416</v>
      </c>
      <c r="F32" s="411" t="s">
        <v>2417</v>
      </c>
      <c r="G32" s="411" t="s">
        <v>2418</v>
      </c>
      <c r="H32" s="411" t="s">
        <v>2419</v>
      </c>
      <c r="I32" s="411" t="s">
        <v>2420</v>
      </c>
    </row>
    <row r="33" customFormat="false" ht="15" hidden="false" customHeight="true" outlineLevel="0" collapsed="false">
      <c r="B33" s="113" t="s">
        <v>2421</v>
      </c>
      <c r="C33" s="385" t="n">
        <f aca="false">'Gaming · Revenue'!D58</f>
        <v>1000998.35</v>
      </c>
      <c r="D33" s="688" t="n">
        <f aca="false">'Master Cost'!E7/'Gaming · Revenue'!D58</f>
        <v>0.532975401033378</v>
      </c>
      <c r="E33" s="385" t="n">
        <f aca="false">0.2*C33*D33</f>
        <v>106701.499405</v>
      </c>
      <c r="F33" s="385" t="n">
        <f aca="false">$C$27-E33*7.205</f>
        <v>-5090562.86055471</v>
      </c>
      <c r="G33" s="385" t="n">
        <f aca="false">$C$27+E33*7.205</f>
        <v>-3552994.25412866</v>
      </c>
      <c r="H33" s="406" t="n">
        <f aca="false">G33-F33</f>
        <v>1537568.60642605</v>
      </c>
      <c r="I33" s="689" t="str">
        <f aca="false">REPT("█",MAX(1,ROUND(H33/MAX($H$33:$H$42)*30,0)))</f>
        <v>███████████████</v>
      </c>
    </row>
    <row r="34" customFormat="false" ht="15" hidden="false" customHeight="true" outlineLevel="0" collapsed="false">
      <c r="B34" s="113" t="s">
        <v>2422</v>
      </c>
      <c r="C34" s="385" t="n">
        <f aca="false">'Events · Revenue'!E18</f>
        <v>1206210</v>
      </c>
      <c r="D34" s="688" t="n">
        <f aca="false">'Master Cost'!E8/'Events · Revenue'!E18</f>
        <v>0.670100562920221</v>
      </c>
      <c r="E34" s="385" t="n">
        <f aca="false">0.2*C34*D34</f>
        <v>161656.4</v>
      </c>
      <c r="F34" s="385" t="n">
        <f aca="false">$C$27-E34*7.205</f>
        <v>-5486512.91934169</v>
      </c>
      <c r="G34" s="385" t="n">
        <f aca="false">$C$27+E34*7.205</f>
        <v>-3157044.19534169</v>
      </c>
      <c r="H34" s="406" t="n">
        <f aca="false">G34-F34</f>
        <v>2329468.724</v>
      </c>
      <c r="I34" s="689" t="str">
        <f aca="false">REPT("█",MAX(1,ROUND(H34/MAX($H$33:$H$42)*30,0)))</f>
        <v>██████████████████████</v>
      </c>
    </row>
    <row r="35" customFormat="false" ht="15" hidden="false" customHeight="true" outlineLevel="0" collapsed="false">
      <c r="B35" s="113" t="s">
        <v>2423</v>
      </c>
      <c r="C35" s="385" t="n">
        <f aca="false">'F&amp;B · Revenue'!E29</f>
        <v>789714.3</v>
      </c>
      <c r="D35" s="688" t="n">
        <f aca="false">'Master Cost'!E13/'F&amp;B · Revenue'!E29</f>
        <v>0.266261512549538</v>
      </c>
      <c r="E35" s="385" t="n">
        <f aca="false">0.2*C35*D35</f>
        <v>42054.1048</v>
      </c>
      <c r="F35" s="385" t="n">
        <f aca="false">$C$27-E35*7.205</f>
        <v>-4624778.38242569</v>
      </c>
      <c r="G35" s="385" t="n">
        <f aca="false">$C$27+E35*7.205</f>
        <v>-4018778.73225769</v>
      </c>
      <c r="H35" s="406" t="n">
        <f aca="false">G35-F35</f>
        <v>605999.650168</v>
      </c>
      <c r="I35" s="689" t="str">
        <f aca="false">REPT("█",MAX(1,ROUND(H35/MAX($H$33:$H$42)*30,0)))</f>
        <v>██████</v>
      </c>
    </row>
    <row r="36" customFormat="false" ht="18" hidden="false" customHeight="true" outlineLevel="0" collapsed="false">
      <c r="B36" s="126" t="s">
        <v>2424</v>
      </c>
      <c r="C36" s="385" t="n">
        <f aca="false">'Academy · Revenue'!E17</f>
        <v>1595070</v>
      </c>
      <c r="D36" s="688" t="n">
        <f aca="false">'Master Cost'!E9/'Academy · Revenue'!E17</f>
        <v>0.678370228265844</v>
      </c>
      <c r="E36" s="385" t="n">
        <f aca="false">0.2*C36*D36</f>
        <v>216409.6</v>
      </c>
      <c r="F36" s="385" t="n">
        <f aca="false">$C$27-E36*7.205</f>
        <v>-5881009.72534169</v>
      </c>
      <c r="G36" s="385" t="n">
        <f aca="false">$C$27+E36*7.205</f>
        <v>-2762547.38934169</v>
      </c>
      <c r="H36" s="406" t="n">
        <f aca="false">G36-F36</f>
        <v>3118462.336</v>
      </c>
      <c r="I36" s="689" t="str">
        <f aca="false">REPT("█",MAX(1,ROUND(H36/MAX($H$33:$H$42)*30,0)))</f>
        <v>██████████████████████████████</v>
      </c>
    </row>
    <row r="37" customFormat="false" ht="18" hidden="false" customHeight="true" outlineLevel="0" collapsed="false">
      <c r="B37" s="126" t="s">
        <v>329</v>
      </c>
      <c r="C37" s="385" t="n">
        <f aca="false">'Sponsorships · Revenue'!E27</f>
        <v>287000</v>
      </c>
      <c r="D37" s="688" t="n">
        <f aca="false">'Master Cost'!E14/'Sponsorships · Revenue'!E27</f>
        <v>0.630801393728223</v>
      </c>
      <c r="E37" s="385" t="n">
        <f aca="false">0.2*C37*D37</f>
        <v>36208</v>
      </c>
      <c r="F37" s="385" t="n">
        <f aca="false">$C$27-E37*7.205</f>
        <v>-4582657.19734169</v>
      </c>
      <c r="G37" s="385" t="n">
        <f aca="false">$C$27+E37*7.205</f>
        <v>-4060899.91734169</v>
      </c>
      <c r="H37" s="406" t="n">
        <f aca="false">G37-F37</f>
        <v>521757.28</v>
      </c>
      <c r="I37" s="689" t="str">
        <f aca="false">REPT("█",MAX(1,ROUND(H37/MAX($H$33:$H$42)*30,0)))</f>
        <v>█████</v>
      </c>
    </row>
    <row r="38" customFormat="false" ht="15" hidden="false" customHeight="true" outlineLevel="0" collapsed="false">
      <c r="B38" s="113" t="s">
        <v>2425</v>
      </c>
      <c r="C38" s="385" t="n">
        <f aca="false">'Esports · Revenue'!E12</f>
        <v>693656.4</v>
      </c>
      <c r="D38" s="688" t="n">
        <f aca="false">'Master Cost'!E10/'Esports · Revenue'!E12</f>
        <v>0.688608942410104</v>
      </c>
      <c r="E38" s="385" t="n">
        <f aca="false">0.2*C38*D38</f>
        <v>95531.6</v>
      </c>
      <c r="F38" s="385" t="n">
        <f aca="false">$C$27-E38*7.205</f>
        <v>-5010083.73534169</v>
      </c>
      <c r="G38" s="385" t="n">
        <f aca="false">$C$27+E38*7.205</f>
        <v>-3633473.37934169</v>
      </c>
      <c r="H38" s="406" t="n">
        <f aca="false">G38-F38</f>
        <v>1376610.356</v>
      </c>
      <c r="I38" s="689" t="str">
        <f aca="false">REPT("█",MAX(1,ROUND(H38/MAX($H$33:$H$42)*30,0)))</f>
        <v>█████████████</v>
      </c>
    </row>
    <row r="39" customFormat="false" ht="15" hidden="false" customHeight="true" outlineLevel="0" collapsed="false">
      <c r="B39" s="113" t="s">
        <v>2327</v>
      </c>
      <c r="C39" s="385" t="n">
        <f aca="false">'Museum · Revenue'!E24</f>
        <v>488873.1</v>
      </c>
      <c r="D39" s="688" t="n">
        <f aca="false">'Master Cost'!E11/'Museum · Revenue'!E24</f>
        <v>0.49059132114244</v>
      </c>
      <c r="E39" s="385" t="n">
        <f aca="false">0.2*C39*D39</f>
        <v>47967.38</v>
      </c>
      <c r="F39" s="385" t="n">
        <f aca="false">$C$27-E39*7.205</f>
        <v>-4667383.53024169</v>
      </c>
      <c r="G39" s="385" t="n">
        <f aca="false">$C$27+E39*7.205</f>
        <v>-3976173.58444169</v>
      </c>
      <c r="H39" s="406" t="n">
        <f aca="false">G39-F39</f>
        <v>691209.9458</v>
      </c>
      <c r="I39" s="689" t="str">
        <f aca="false">REPT("█",MAX(1,ROUND(H39/MAX($H$33:$H$42)*30,0)))</f>
        <v>███████</v>
      </c>
    </row>
    <row r="40" customFormat="false" ht="15" hidden="false" customHeight="true" outlineLevel="0" collapsed="false">
      <c r="B40" s="113" t="s">
        <v>2426</v>
      </c>
      <c r="C40" s="385" t="n">
        <f aca="false">'Borderless · Revenue'!E21</f>
        <v>289500</v>
      </c>
      <c r="D40" s="688" t="n">
        <f aca="false">'Master Cost'!E15/'Borderless · Revenue'!E21</f>
        <v>0.680483592400691</v>
      </c>
      <c r="E40" s="385" t="n">
        <f aca="false">0.2*C40*D40</f>
        <v>39400</v>
      </c>
      <c r="F40" s="385" t="n">
        <f aca="false">$C$27-E40*7.205</f>
        <v>-4605655.55734169</v>
      </c>
      <c r="G40" s="385" t="n">
        <f aca="false">$C$27+E40*7.205</f>
        <v>-4037901.55734169</v>
      </c>
      <c r="H40" s="406" t="n">
        <f aca="false">G40-F40</f>
        <v>567754</v>
      </c>
      <c r="I40" s="689" t="str">
        <f aca="false">REPT("█",MAX(1,ROUND(H40/MAX($H$33:$H$42)*30,0)))</f>
        <v>█████</v>
      </c>
    </row>
    <row r="41" customFormat="false" ht="15" hidden="false" customHeight="true" outlineLevel="0" collapsed="false">
      <c r="B41" s="113" t="s">
        <v>2427</v>
      </c>
      <c r="C41" s="385" t="n">
        <f aca="false">'Master Revenue'!D12</f>
        <v>321000</v>
      </c>
      <c r="D41" s="688" t="n">
        <f aca="false">'Master Cost'!E12/'Master Revenue'!D12</f>
        <v>0.913021806853583</v>
      </c>
      <c r="E41" s="385" t="n">
        <f aca="false">0.2*C41*D41</f>
        <v>58616</v>
      </c>
      <c r="F41" s="385" t="n">
        <f aca="false">$C$27-E41*7.205</f>
        <v>-4744106.83734169</v>
      </c>
      <c r="G41" s="385" t="n">
        <f aca="false">$C$27+E41*7.205</f>
        <v>-3899450.27734169</v>
      </c>
      <c r="H41" s="406" t="n">
        <f aca="false">G41-F41</f>
        <v>844656.560000001</v>
      </c>
      <c r="I41" s="689" t="str">
        <f aca="false">REPT("█",MAX(1,ROUND(H41/MAX($H$33:$H$42)*30,0)))</f>
        <v>████████</v>
      </c>
    </row>
    <row r="42" customFormat="false" ht="18" hidden="false" customHeight="true" outlineLevel="0" collapsed="false">
      <c r="B42" s="126" t="s">
        <v>2428</v>
      </c>
      <c r="C42" s="690" t="s">
        <v>2429</v>
      </c>
      <c r="D42" s="691" t="s">
        <v>2430</v>
      </c>
      <c r="E42" s="690" t="s">
        <v>2431</v>
      </c>
      <c r="F42" s="385" t="n">
        <f aca="false">$C$27*0.82</f>
        <v>-3543858.41702018</v>
      </c>
      <c r="G42" s="385" t="n">
        <f aca="false">$C$27*1.2</f>
        <v>-5186134.26881002</v>
      </c>
      <c r="H42" s="406" t="n">
        <f aca="false">G42-F42</f>
        <v>-1642275.85178984</v>
      </c>
      <c r="I42" s="689" t="str">
        <f aca="false">REPT("█",MAX(1,ROUND(H42/MAX($H$33:$H$42)*30,0)))</f>
        <v>█</v>
      </c>
    </row>
    <row r="43" customFormat="false" ht="15" hidden="false" customHeight="true" outlineLevel="0" collapsed="false">
      <c r="B43" s="6"/>
      <c r="D43" s="6"/>
    </row>
    <row r="44" customFormat="false" ht="36" hidden="false" customHeight="true" outlineLevel="0" collapsed="false">
      <c r="B44" s="85" t="s">
        <v>2432</v>
      </c>
      <c r="C44" s="85"/>
      <c r="D44" s="85"/>
      <c r="E44" s="85"/>
      <c r="F44" s="85"/>
      <c r="G44" s="85"/>
      <c r="H44" s="85"/>
      <c r="I44" s="85"/>
    </row>
    <row r="45" customFormat="false" ht="15" hidden="false" customHeight="true" outlineLevel="0" collapsed="false">
      <c r="B45" s="6"/>
      <c r="D45" s="6"/>
    </row>
    <row r="46" customFormat="false" ht="21.75" hidden="false" customHeight="true" outlineLevel="0" collapsed="false">
      <c r="B46" s="51" t="s">
        <v>2433</v>
      </c>
      <c r="C46" s="51"/>
      <c r="D46" s="51"/>
      <c r="E46" s="51"/>
      <c r="F46" s="51"/>
      <c r="G46" s="51"/>
      <c r="H46" s="51"/>
      <c r="I46" s="51"/>
    </row>
    <row r="47" customFormat="false" ht="51" hidden="false" customHeight="true" outlineLevel="0" collapsed="false">
      <c r="B47" s="414" t="s">
        <v>2434</v>
      </c>
      <c r="C47" s="414"/>
      <c r="D47" s="414"/>
      <c r="E47" s="414"/>
      <c r="F47" s="414"/>
      <c r="G47" s="414"/>
      <c r="H47" s="414"/>
      <c r="I47" s="414"/>
    </row>
    <row r="48" customFormat="false" ht="51" hidden="false" customHeight="true" outlineLevel="0" collapsed="false">
      <c r="B48" s="414" t="s">
        <v>2435</v>
      </c>
      <c r="C48" s="414"/>
      <c r="D48" s="414"/>
      <c r="E48" s="414"/>
      <c r="F48" s="414"/>
      <c r="G48" s="414"/>
      <c r="H48" s="414"/>
      <c r="I48" s="414"/>
    </row>
    <row r="49" customFormat="false" ht="51" hidden="false" customHeight="true" outlineLevel="0" collapsed="false">
      <c r="B49" s="414" t="s">
        <v>2436</v>
      </c>
      <c r="C49" s="414"/>
      <c r="D49" s="414"/>
      <c r="E49" s="414"/>
      <c r="F49" s="414"/>
      <c r="G49" s="414"/>
      <c r="H49" s="414"/>
      <c r="I49" s="414"/>
    </row>
    <row r="50" customFormat="false" ht="66" hidden="false" customHeight="true" outlineLevel="0" collapsed="false">
      <c r="B50" s="414" t="s">
        <v>2437</v>
      </c>
      <c r="C50" s="414"/>
      <c r="D50" s="414"/>
      <c r="E50" s="414"/>
      <c r="F50" s="414"/>
      <c r="G50" s="414"/>
      <c r="H50" s="414"/>
      <c r="I50" s="414"/>
    </row>
    <row r="51" customFormat="false" ht="66" hidden="false" customHeight="true" outlineLevel="0" collapsed="false">
      <c r="B51" s="414" t="s">
        <v>2438</v>
      </c>
      <c r="C51" s="414"/>
      <c r="D51" s="414"/>
      <c r="E51" s="414"/>
      <c r="F51" s="414"/>
      <c r="G51" s="414"/>
      <c r="H51" s="414"/>
      <c r="I51" s="414"/>
    </row>
    <row r="52" customFormat="false" ht="66" hidden="false" customHeight="true" outlineLevel="0" collapsed="false">
      <c r="B52" s="414" t="s">
        <v>2439</v>
      </c>
      <c r="C52" s="414"/>
      <c r="D52" s="414"/>
      <c r="E52" s="414"/>
      <c r="F52" s="414"/>
      <c r="G52" s="414"/>
      <c r="H52" s="414"/>
      <c r="I52" s="414"/>
    </row>
    <row r="53" customFormat="false" ht="66" hidden="false" customHeight="true" outlineLevel="0" collapsed="false">
      <c r="B53" s="414" t="s">
        <v>2440</v>
      </c>
      <c r="C53" s="414"/>
      <c r="D53" s="414"/>
      <c r="E53" s="414"/>
      <c r="F53" s="414"/>
      <c r="G53" s="414"/>
      <c r="H53" s="414"/>
      <c r="I53" s="414"/>
    </row>
  </sheetData>
  <mergeCells count="21">
    <mergeCell ref="B2:I2"/>
    <mergeCell ref="B3:I3"/>
    <mergeCell ref="B5:I5"/>
    <mergeCell ref="D8:I8"/>
    <mergeCell ref="D9:I9"/>
    <mergeCell ref="D10:I10"/>
    <mergeCell ref="D11:I11"/>
    <mergeCell ref="B13:I13"/>
    <mergeCell ref="B22:I22"/>
    <mergeCell ref="D27:I27"/>
    <mergeCell ref="B30:I30"/>
    <mergeCell ref="B31:I31"/>
    <mergeCell ref="B44:I44"/>
    <mergeCell ref="B46:I46"/>
    <mergeCell ref="B47:I47"/>
    <mergeCell ref="B48:I48"/>
    <mergeCell ref="B49:I49"/>
    <mergeCell ref="B50:I50"/>
    <mergeCell ref="B51:I51"/>
    <mergeCell ref="B52:I52"/>
    <mergeCell ref="B53:I5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K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H36" activeCellId="0" sqref="H36"/>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2.5"/>
    <col collapsed="false" customWidth="true" hidden="false" outlineLevel="0" max="4" min="4" style="0" width="12.83"/>
    <col collapsed="false" customWidth="true" hidden="false" outlineLevel="0" max="5" min="5" style="0" width="14.16"/>
    <col collapsed="false" customWidth="true" hidden="false" outlineLevel="0" max="6" min="6" style="0" width="11"/>
    <col collapsed="false" customWidth="true" hidden="false" outlineLevel="0" max="7" min="7" style="0" width="9"/>
    <col collapsed="false" customWidth="true" hidden="false" outlineLevel="0" max="8" min="8" style="0" width="20"/>
    <col collapsed="false" customWidth="true" hidden="false" outlineLevel="0" max="11" min="9" style="0" width="9"/>
  </cols>
  <sheetData>
    <row r="1" customFormat="false" ht="3.75" hidden="false" customHeight="true" outlineLevel="0" collapsed="false">
      <c r="B1" s="1"/>
      <c r="C1" s="2"/>
      <c r="D1" s="2"/>
      <c r="E1" s="2"/>
      <c r="F1" s="1"/>
      <c r="G1" s="2"/>
      <c r="H1" s="2"/>
      <c r="I1" s="2"/>
      <c r="J1" s="2"/>
      <c r="K1" s="2"/>
    </row>
    <row r="2" customFormat="false" ht="33.75" hidden="false" customHeight="true" outlineLevel="0" collapsed="false">
      <c r="B2" s="15" t="s">
        <v>2441</v>
      </c>
      <c r="C2" s="15"/>
      <c r="D2" s="15"/>
      <c r="E2" s="15"/>
      <c r="F2" s="15"/>
      <c r="G2" s="15"/>
      <c r="H2" s="89" t="s">
        <v>198</v>
      </c>
      <c r="I2" s="89"/>
      <c r="J2" s="89"/>
      <c r="K2" s="89"/>
    </row>
    <row r="3" customFormat="false" ht="18" hidden="false" customHeight="true" outlineLevel="0" collapsed="false">
      <c r="B3" s="529" t="s">
        <v>2442</v>
      </c>
      <c r="C3" s="529"/>
      <c r="D3" s="529"/>
      <c r="E3" s="529"/>
      <c r="F3" s="529"/>
      <c r="G3" s="529"/>
      <c r="H3" s="529"/>
      <c r="I3" s="529"/>
      <c r="J3" s="529"/>
      <c r="K3" s="529"/>
    </row>
    <row r="4" customFormat="false" ht="15" hidden="false" customHeight="true" outlineLevel="0" collapsed="false">
      <c r="B4" s="6"/>
      <c r="F4" s="6"/>
    </row>
    <row r="5" customFormat="false" ht="21.75" hidden="false" customHeight="true" outlineLevel="0" collapsed="false">
      <c r="B5" s="575" t="s">
        <v>2443</v>
      </c>
      <c r="C5" s="575"/>
      <c r="D5" s="575"/>
      <c r="E5" s="575"/>
      <c r="F5" s="575"/>
      <c r="G5" s="575"/>
      <c r="H5" s="575"/>
      <c r="I5" s="575"/>
      <c r="J5" s="575"/>
      <c r="K5" s="575"/>
    </row>
    <row r="6" customFormat="false" ht="21.75" hidden="false" customHeight="true" outlineLevel="0" collapsed="false">
      <c r="B6" s="97" t="s">
        <v>136</v>
      </c>
      <c r="C6" s="675" t="s">
        <v>2444</v>
      </c>
      <c r="D6" s="676" t="s">
        <v>203</v>
      </c>
      <c r="E6" s="677" t="s">
        <v>2445</v>
      </c>
      <c r="F6" s="99" t="s">
        <v>2446</v>
      </c>
    </row>
    <row r="7" customFormat="false" ht="16.5" hidden="false" customHeight="true" outlineLevel="0" collapsed="false">
      <c r="B7" s="113" t="s">
        <v>217</v>
      </c>
      <c r="C7" s="360" t="n">
        <f aca="false">'Master Revenue'!C7</f>
        <v>850848.5975</v>
      </c>
      <c r="D7" s="544" t="n">
        <f aca="false">'Master Revenue'!D7</f>
        <v>1000998.35</v>
      </c>
      <c r="E7" s="648" t="n">
        <f aca="false">'Master Revenue'!E7</f>
        <v>1101098.185</v>
      </c>
      <c r="F7" s="692" t="n">
        <f aca="false">IFERROR(E7/C7,0)</f>
        <v>1.29411764705882</v>
      </c>
    </row>
    <row r="8" customFormat="false" ht="16.5" hidden="false" customHeight="true" outlineLevel="0" collapsed="false">
      <c r="B8" s="113" t="s">
        <v>218</v>
      </c>
      <c r="C8" s="360" t="n">
        <f aca="false">'Master Revenue'!C8</f>
        <v>989507.7375</v>
      </c>
      <c r="D8" s="544" t="n">
        <f aca="false">'Master Revenue'!D8</f>
        <v>1206210</v>
      </c>
      <c r="E8" s="648" t="n">
        <f aca="false">'Master Revenue'!E8</f>
        <v>1462390.05</v>
      </c>
      <c r="F8" s="692" t="n">
        <f aca="false">IFERROR(E8/C8,0)</f>
        <v>1.477896528323</v>
      </c>
    </row>
    <row r="9" customFormat="false" ht="16.5" hidden="false" customHeight="true" outlineLevel="0" collapsed="false">
      <c r="B9" s="113" t="s">
        <v>145</v>
      </c>
      <c r="C9" s="360" t="n">
        <f aca="false">'Master Revenue'!C9</f>
        <v>1107195.85</v>
      </c>
      <c r="D9" s="544" t="n">
        <f aca="false">'Master Revenue'!D9</f>
        <v>1595070</v>
      </c>
      <c r="E9" s="648" t="n">
        <f aca="false">'Master Revenue'!E9</f>
        <v>2036298.84</v>
      </c>
      <c r="F9" s="692" t="n">
        <f aca="false">IFERROR(E9/C9,0)</f>
        <v>1.83914963192826</v>
      </c>
    </row>
    <row r="10" customFormat="false" ht="16.5" hidden="false" customHeight="true" outlineLevel="0" collapsed="false">
      <c r="B10" s="113" t="s">
        <v>219</v>
      </c>
      <c r="C10" s="360" t="n">
        <f aca="false">'Master Revenue'!C10</f>
        <v>354375.050832</v>
      </c>
      <c r="D10" s="544" t="n">
        <f aca="false">'Master Revenue'!D10</f>
        <v>693656.4</v>
      </c>
      <c r="E10" s="648" t="n">
        <f aca="false">'Master Revenue'!E10</f>
        <v>1394430.337872</v>
      </c>
      <c r="F10" s="692" t="n">
        <f aca="false">IFERROR(E10/C10,0)</f>
        <v>3.93489985990313</v>
      </c>
    </row>
    <row r="11" customFormat="false" ht="16.5" hidden="false" customHeight="true" outlineLevel="0" collapsed="false">
      <c r="B11" s="113" t="s">
        <v>151</v>
      </c>
      <c r="C11" s="360" t="n">
        <f aca="false">'Master Revenue'!C11</f>
        <v>322767.6054992</v>
      </c>
      <c r="D11" s="544" t="n">
        <f aca="false">'Master Revenue'!D11</f>
        <v>488873.1</v>
      </c>
      <c r="E11" s="648" t="n">
        <f aca="false">'Master Revenue'!E11</f>
        <v>621625.293696</v>
      </c>
      <c r="F11" s="692" t="n">
        <f aca="false">IFERROR(E11/C11,0)</f>
        <v>1.92592219016087</v>
      </c>
    </row>
    <row r="12" customFormat="false" ht="16.5" hidden="false" customHeight="true" outlineLevel="0" collapsed="false">
      <c r="B12" s="113" t="s">
        <v>157</v>
      </c>
      <c r="C12" s="360" t="n">
        <f aca="false">'Master Revenue'!C12</f>
        <v>226907.5</v>
      </c>
      <c r="D12" s="544" t="n">
        <f aca="false">'Master Revenue'!D12</f>
        <v>321000</v>
      </c>
      <c r="E12" s="648" t="n">
        <f aca="false">'Master Revenue'!E12</f>
        <v>395164</v>
      </c>
      <c r="F12" s="692" t="n">
        <f aca="false">IFERROR(E12/C12,0)</f>
        <v>1.74152022299836</v>
      </c>
    </row>
    <row r="13" customFormat="false" ht="16.5" hidden="false" customHeight="true" outlineLevel="0" collapsed="false">
      <c r="B13" s="113" t="s">
        <v>143</v>
      </c>
      <c r="C13" s="360" t="n">
        <f aca="false">'Master Revenue'!C13</f>
        <v>568252.279752</v>
      </c>
      <c r="D13" s="544" t="n">
        <f aca="false">'Master Revenue'!D13</f>
        <v>789714.3</v>
      </c>
      <c r="E13" s="648" t="n">
        <f aca="false">'Master Revenue'!E13</f>
        <v>1772914.8228</v>
      </c>
      <c r="F13" s="692" t="n">
        <f aca="false">IFERROR(E13/C13,0)</f>
        <v>3.11994317660062</v>
      </c>
    </row>
    <row r="14" customFormat="false" ht="16.5" hidden="false" customHeight="true" outlineLevel="0" collapsed="false">
      <c r="B14" s="113" t="s">
        <v>153</v>
      </c>
      <c r="C14" s="360" t="n">
        <f aca="false">'Master Revenue'!C14</f>
        <v>166049.18</v>
      </c>
      <c r="D14" s="544" t="n">
        <f aca="false">'Master Revenue'!D14</f>
        <v>287000</v>
      </c>
      <c r="E14" s="648" t="n">
        <f aca="false">'Master Revenue'!E14</f>
        <v>363968</v>
      </c>
      <c r="F14" s="692" t="n">
        <f aca="false">IFERROR(E14/C14,0)</f>
        <v>2.1919289212991</v>
      </c>
    </row>
    <row r="15" customFormat="false" ht="16.5" hidden="false" customHeight="true" outlineLevel="0" collapsed="false">
      <c r="B15" s="113" t="s">
        <v>155</v>
      </c>
      <c r="C15" s="360" t="n">
        <f aca="false">'Master Revenue'!C15</f>
        <v>191737.32</v>
      </c>
      <c r="D15" s="544" t="n">
        <f aca="false">'Master Revenue'!D15</f>
        <v>289500</v>
      </c>
      <c r="E15" s="648" t="n">
        <f aca="false">'Master Revenue'!E15</f>
        <v>355086.6</v>
      </c>
      <c r="F15" s="692" t="n">
        <f aca="false">IFERROR(E15/C15,0)</f>
        <v>1.85194306460526</v>
      </c>
    </row>
    <row r="16" customFormat="false" ht="15" hidden="false" customHeight="true" outlineLevel="0" collapsed="false">
      <c r="B16" s="6"/>
      <c r="F16" s="6"/>
    </row>
    <row r="17" customFormat="false" ht="25.5" hidden="false" customHeight="true" outlineLevel="0" collapsed="false">
      <c r="B17" s="117" t="s">
        <v>220</v>
      </c>
      <c r="C17" s="693" t="n">
        <f aca="false">SUM(C7:C15)</f>
        <v>4777641.1210832</v>
      </c>
      <c r="D17" s="608" t="n">
        <f aca="false">SUM(D7:D15)</f>
        <v>6672022.15</v>
      </c>
      <c r="E17" s="694" t="n">
        <f aca="false">SUM(E7:E15)</f>
        <v>9502976.129368</v>
      </c>
      <c r="F17" s="695" t="n">
        <f aca="false">IFERROR(E17/C17,0)</f>
        <v>1.98905189580532</v>
      </c>
    </row>
    <row r="18" customFormat="false" ht="15" hidden="false" customHeight="true" outlineLevel="0" collapsed="false">
      <c r="B18" s="6"/>
      <c r="F18" s="6"/>
    </row>
    <row r="19" customFormat="false" ht="15" hidden="false" customHeight="true" outlineLevel="0" collapsed="false">
      <c r="B19" s="6"/>
      <c r="F19" s="6"/>
    </row>
    <row r="20" customFormat="false" ht="21.75" hidden="false" customHeight="true" outlineLevel="0" collapsed="false">
      <c r="B20" s="575" t="s">
        <v>2447</v>
      </c>
      <c r="C20" s="575"/>
      <c r="D20" s="575"/>
      <c r="E20" s="575"/>
      <c r="F20" s="575"/>
      <c r="G20" s="575"/>
      <c r="H20" s="575"/>
      <c r="I20" s="575"/>
      <c r="J20" s="575"/>
      <c r="K20" s="575"/>
    </row>
    <row r="21" customFormat="false" ht="15" hidden="false" customHeight="true" outlineLevel="0" collapsed="false">
      <c r="B21" s="97" t="s">
        <v>738</v>
      </c>
      <c r="C21" s="98" t="s">
        <v>962</v>
      </c>
      <c r="D21" s="98" t="s">
        <v>207</v>
      </c>
      <c r="E21" s="98" t="s">
        <v>2448</v>
      </c>
      <c r="F21" s="6"/>
    </row>
    <row r="22" customFormat="false" ht="15" hidden="false" customHeight="true" outlineLevel="0" collapsed="false">
      <c r="B22" s="113" t="s">
        <v>2449</v>
      </c>
      <c r="C22" s="696" t="n">
        <v>0.2</v>
      </c>
      <c r="D22" s="571" t="n">
        <f aca="false">C17</f>
        <v>4777641.1210832</v>
      </c>
      <c r="E22" s="544" t="n">
        <f aca="false">C22*D22</f>
        <v>955528.22421664</v>
      </c>
      <c r="F22" s="6"/>
    </row>
    <row r="23" customFormat="false" ht="15" hidden="false" customHeight="true" outlineLevel="0" collapsed="false">
      <c r="B23" s="113" t="s">
        <v>2283</v>
      </c>
      <c r="C23" s="696" t="n">
        <v>0.55</v>
      </c>
      <c r="D23" s="571" t="n">
        <f aca="false">D17</f>
        <v>6672022.15</v>
      </c>
      <c r="E23" s="544" t="n">
        <f aca="false">C23*D23</f>
        <v>3669612.1825</v>
      </c>
      <c r="F23" s="6"/>
    </row>
    <row r="24" customFormat="false" ht="15" hidden="false" customHeight="true" outlineLevel="0" collapsed="false">
      <c r="B24" s="113" t="s">
        <v>2450</v>
      </c>
      <c r="C24" s="696" t="n">
        <v>0.25</v>
      </c>
      <c r="D24" s="571" t="n">
        <f aca="false">E17</f>
        <v>9502976.129368</v>
      </c>
      <c r="E24" s="544" t="n">
        <f aca="false">C24*D24</f>
        <v>2375744.032342</v>
      </c>
      <c r="F24" s="6"/>
    </row>
    <row r="25" customFormat="false" ht="15" hidden="false" customHeight="true" outlineLevel="0" collapsed="false">
      <c r="B25" s="697" t="s">
        <v>342</v>
      </c>
      <c r="C25" s="698" t="n">
        <f aca="false">SUM(C22:C24)</f>
        <v>1</v>
      </c>
      <c r="F25" s="6"/>
    </row>
    <row r="26" customFormat="false" ht="15" hidden="false" customHeight="true" outlineLevel="0" collapsed="false">
      <c r="B26" s="6"/>
      <c r="F26" s="6"/>
    </row>
    <row r="27" customFormat="false" ht="27.75" hidden="false" customHeight="true" outlineLevel="0" collapsed="false">
      <c r="B27" s="699" t="s">
        <v>2451</v>
      </c>
      <c r="E27" s="578" t="n">
        <f aca="false">SUM(E22:E24)</f>
        <v>7000884.43905864</v>
      </c>
      <c r="F27" s="6"/>
    </row>
  </sheetData>
  <mergeCells count="5">
    <mergeCell ref="B2:G2"/>
    <mergeCell ref="H2:K2"/>
    <mergeCell ref="B3:K3"/>
    <mergeCell ref="B5:K5"/>
    <mergeCell ref="B20:K20"/>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G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H31" activeCellId="0" sqref="H3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7.67"/>
    <col collapsed="false" customWidth="true" hidden="false" outlineLevel="0" max="4" min="4" style="0" width="14"/>
    <col collapsed="false" customWidth="true" hidden="false" outlineLevel="0" max="5" min="5" style="0" width="13"/>
    <col collapsed="false" customWidth="true" hidden="false" outlineLevel="0" max="6" min="6" style="0" width="14"/>
    <col collapsed="false" customWidth="true" hidden="false" outlineLevel="0" max="7" min="7" style="0" width="28"/>
  </cols>
  <sheetData>
    <row r="1" customFormat="false" ht="3.75" hidden="false" customHeight="true" outlineLevel="0" collapsed="false">
      <c r="B1" s="1"/>
      <c r="C1" s="2"/>
      <c r="D1" s="2"/>
      <c r="E1" s="2"/>
      <c r="F1" s="2"/>
      <c r="G1" s="1"/>
    </row>
    <row r="2" customFormat="false" ht="36" hidden="false" customHeight="true" outlineLevel="0" collapsed="false">
      <c r="B2" s="88" t="s">
        <v>2452</v>
      </c>
      <c r="C2" s="88"/>
      <c r="D2" s="88"/>
      <c r="E2" s="88"/>
      <c r="F2" s="88"/>
      <c r="G2" s="88"/>
    </row>
    <row r="3" customFormat="false" ht="51" hidden="false" customHeight="true" outlineLevel="0" collapsed="false">
      <c r="B3" s="90" t="s">
        <v>2453</v>
      </c>
      <c r="C3" s="90"/>
      <c r="D3" s="90"/>
      <c r="E3" s="90"/>
      <c r="F3" s="90"/>
      <c r="G3" s="90"/>
    </row>
    <row r="4" customFormat="false" ht="15" hidden="false" customHeight="true" outlineLevel="0" collapsed="false">
      <c r="B4" s="6"/>
      <c r="G4" s="6"/>
    </row>
    <row r="5" customFormat="false" ht="21.75" hidden="false" customHeight="true" outlineLevel="0" collapsed="false">
      <c r="B5" s="43" t="s">
        <v>2454</v>
      </c>
      <c r="C5" s="43"/>
      <c r="D5" s="43"/>
      <c r="E5" s="43"/>
      <c r="F5" s="43"/>
      <c r="G5" s="43"/>
    </row>
    <row r="6" customFormat="false" ht="21.75" hidden="false" customHeight="true" outlineLevel="0" collapsed="false">
      <c r="B6" s="97" t="s">
        <v>738</v>
      </c>
      <c r="C6" s="98" t="s">
        <v>2455</v>
      </c>
      <c r="D6" s="98" t="s">
        <v>2456</v>
      </c>
      <c r="E6" s="98" t="s">
        <v>2457</v>
      </c>
      <c r="F6" s="98" t="s">
        <v>2458</v>
      </c>
      <c r="G6" s="6"/>
    </row>
    <row r="7" customFormat="false" ht="15" hidden="false" customHeight="true" outlineLevel="0" collapsed="false">
      <c r="B7" s="113" t="s">
        <v>2459</v>
      </c>
      <c r="C7" s="700" t="n">
        <f aca="false">MASTER_ASSUMPTIONS!C49</f>
        <v>0.15</v>
      </c>
      <c r="D7" s="700" t="n">
        <f aca="false">MASTER_ASSUMPTIONS!C50</f>
        <v>0.7</v>
      </c>
      <c r="E7" s="700" t="n">
        <f aca="false">MASTER_ASSUMPTIONS!C51</f>
        <v>0.15</v>
      </c>
      <c r="F7" s="701" t="n">
        <f aca="false">C7+D7+E7</f>
        <v>1</v>
      </c>
      <c r="G7" s="6"/>
    </row>
    <row r="8" customFormat="false" ht="15" hidden="false" customHeight="true" outlineLevel="0" collapsed="false">
      <c r="B8" s="113" t="s">
        <v>2460</v>
      </c>
      <c r="C8" s="702" t="str">
        <f aca="false">IF(ABS(F7-1)&lt;0.001,"✓ OK — weights sum to 100%","✗ ADJUST: weights must sum to 100%")</f>
        <v>✓ OK — weights sum to 100%</v>
      </c>
      <c r="D8" s="702"/>
      <c r="E8" s="702"/>
      <c r="F8" s="702"/>
      <c r="G8" s="6"/>
    </row>
    <row r="9" customFormat="false" ht="15" hidden="false" customHeight="true" outlineLevel="0" collapsed="false">
      <c r="B9" s="6"/>
      <c r="G9" s="6"/>
    </row>
    <row r="10" customFormat="false" ht="21.75" hidden="false" customHeight="true" outlineLevel="0" collapsed="false">
      <c r="B10" s="51" t="s">
        <v>2461</v>
      </c>
      <c r="C10" s="51"/>
      <c r="D10" s="51"/>
      <c r="E10" s="51"/>
      <c r="F10" s="51"/>
      <c r="G10" s="51"/>
    </row>
    <row r="11" customFormat="false" ht="36" hidden="false" customHeight="true" outlineLevel="0" collapsed="false">
      <c r="B11" s="97" t="s">
        <v>392</v>
      </c>
      <c r="C11" s="411" t="s">
        <v>2444</v>
      </c>
      <c r="D11" s="411" t="s">
        <v>203</v>
      </c>
      <c r="E11" s="411" t="s">
        <v>2445</v>
      </c>
      <c r="F11" s="411" t="s">
        <v>2462</v>
      </c>
      <c r="G11" s="97" t="s">
        <v>2463</v>
      </c>
    </row>
    <row r="12" customFormat="false" ht="36" hidden="false" customHeight="true" outlineLevel="0" collapsed="false">
      <c r="B12" s="113" t="s">
        <v>2464</v>
      </c>
      <c r="C12" s="703" t="n">
        <v>4</v>
      </c>
      <c r="D12" s="704" t="n">
        <v>6</v>
      </c>
      <c r="E12" s="705" t="n">
        <v>8</v>
      </c>
      <c r="F12" s="706" t="n">
        <f aca="false">E12-C12</f>
        <v>4</v>
      </c>
      <c r="G12" s="128" t="s">
        <v>2465</v>
      </c>
    </row>
    <row r="13" customFormat="false" ht="36" hidden="false" customHeight="true" outlineLevel="0" collapsed="false">
      <c r="B13" s="113" t="s">
        <v>2466</v>
      </c>
      <c r="C13" s="703" t="s">
        <v>2467</v>
      </c>
      <c r="D13" s="704" t="s">
        <v>1793</v>
      </c>
      <c r="E13" s="705" t="s">
        <v>2376</v>
      </c>
      <c r="F13" s="706" t="s">
        <v>2468</v>
      </c>
      <c r="G13" s="128" t="s">
        <v>2469</v>
      </c>
    </row>
    <row r="14" customFormat="false" ht="36" hidden="false" customHeight="true" outlineLevel="0" collapsed="false">
      <c r="B14" s="126" t="s">
        <v>2424</v>
      </c>
      <c r="C14" s="703" t="n">
        <v>140</v>
      </c>
      <c r="D14" s="704" t="n">
        <v>195</v>
      </c>
      <c r="E14" s="705" t="n">
        <v>260</v>
      </c>
      <c r="F14" s="706" t="n">
        <f aca="false">E14-C14</f>
        <v>120</v>
      </c>
      <c r="G14" s="128" t="s">
        <v>2470</v>
      </c>
    </row>
    <row r="15" customFormat="false" ht="36" hidden="false" customHeight="true" outlineLevel="0" collapsed="false">
      <c r="B15" s="113" t="s">
        <v>2471</v>
      </c>
      <c r="C15" s="703" t="s">
        <v>1796</v>
      </c>
      <c r="D15" s="704" t="s">
        <v>2472</v>
      </c>
      <c r="E15" s="705" t="s">
        <v>2473</v>
      </c>
      <c r="F15" s="706" t="s">
        <v>2474</v>
      </c>
      <c r="G15" s="128" t="s">
        <v>2475</v>
      </c>
    </row>
    <row r="16" customFormat="false" ht="36" hidden="false" customHeight="true" outlineLevel="0" collapsed="false">
      <c r="B16" s="113" t="s">
        <v>2425</v>
      </c>
      <c r="C16" s="703" t="s">
        <v>2476</v>
      </c>
      <c r="D16" s="704" t="s">
        <v>2477</v>
      </c>
      <c r="E16" s="705" t="s">
        <v>2478</v>
      </c>
      <c r="F16" s="706" t="s">
        <v>2479</v>
      </c>
      <c r="G16" s="128" t="s">
        <v>2480</v>
      </c>
    </row>
    <row r="17" customFormat="false" ht="36" hidden="false" customHeight="true" outlineLevel="0" collapsed="false">
      <c r="B17" s="113" t="s">
        <v>2327</v>
      </c>
      <c r="C17" s="703" t="n">
        <v>50</v>
      </c>
      <c r="D17" s="704" t="n">
        <v>80</v>
      </c>
      <c r="E17" s="705" t="n">
        <v>110</v>
      </c>
      <c r="F17" s="706" t="n">
        <f aca="false">E17-C17</f>
        <v>60</v>
      </c>
      <c r="G17" s="128" t="s">
        <v>2481</v>
      </c>
    </row>
    <row r="18" customFormat="false" ht="36" hidden="false" customHeight="true" outlineLevel="0" collapsed="false">
      <c r="B18" s="113" t="s">
        <v>2421</v>
      </c>
      <c r="C18" s="703" t="n">
        <v>630</v>
      </c>
      <c r="D18" s="704" t="n">
        <v>900</v>
      </c>
      <c r="E18" s="705" t="n">
        <v>1170</v>
      </c>
      <c r="F18" s="706" t="n">
        <f aca="false">E18-C18</f>
        <v>540</v>
      </c>
      <c r="G18" s="128" t="s">
        <v>2482</v>
      </c>
    </row>
    <row r="19" customFormat="false" ht="21.75" hidden="false" customHeight="true" outlineLevel="0" collapsed="false">
      <c r="B19" s="126" t="s">
        <v>2483</v>
      </c>
      <c r="C19" s="703" t="n">
        <v>5</v>
      </c>
      <c r="D19" s="704" t="n">
        <v>10</v>
      </c>
      <c r="E19" s="705" t="n">
        <v>14</v>
      </c>
      <c r="F19" s="706" t="n">
        <f aca="false">E19-C19</f>
        <v>9</v>
      </c>
      <c r="G19" s="128" t="s">
        <v>2484</v>
      </c>
    </row>
    <row r="20" customFormat="false" ht="15" hidden="false" customHeight="true" outlineLevel="0" collapsed="false">
      <c r="B20" s="6"/>
      <c r="G20" s="6"/>
    </row>
    <row r="21" customFormat="false" ht="36" hidden="false" customHeight="true" outlineLevel="0" collapsed="false">
      <c r="B21" s="51" t="s">
        <v>2485</v>
      </c>
      <c r="C21" s="51"/>
      <c r="D21" s="51"/>
      <c r="E21" s="51"/>
      <c r="F21" s="51"/>
      <c r="G21" s="51"/>
    </row>
    <row r="22" customFormat="false" ht="21.75" hidden="false" customHeight="true" outlineLevel="0" collapsed="false">
      <c r="B22" s="97" t="s">
        <v>206</v>
      </c>
      <c r="C22" s="98" t="s">
        <v>2455</v>
      </c>
      <c r="D22" s="98" t="s">
        <v>2456</v>
      </c>
      <c r="E22" s="98" t="s">
        <v>2457</v>
      </c>
      <c r="F22" s="98" t="s">
        <v>2486</v>
      </c>
      <c r="G22" s="6"/>
    </row>
    <row r="23" customFormat="false" ht="24" hidden="false" customHeight="true" outlineLevel="0" collapsed="false">
      <c r="B23" s="113" t="s">
        <v>2487</v>
      </c>
      <c r="C23" s="707" t="n">
        <f aca="false">'Exec Summary'!C12+'Bear Case'!F24</f>
        <v>5608418.69153846</v>
      </c>
      <c r="D23" s="405" t="n">
        <f aca="false">'Exec Summary'!C12</f>
        <v>6672022.15</v>
      </c>
      <c r="E23" s="708" t="n">
        <f aca="false">'Exec Summary'!C12*1.18</f>
        <v>7872986.137</v>
      </c>
      <c r="F23" s="405" t="n">
        <f aca="false">E23-C23</f>
        <v>2264567.44546154</v>
      </c>
      <c r="G23" s="6"/>
    </row>
    <row r="24" customFormat="false" ht="24" hidden="false" customHeight="true" outlineLevel="0" collapsed="false">
      <c r="B24" s="113" t="s">
        <v>2488</v>
      </c>
      <c r="C24" s="707" t="n">
        <f aca="false">'Exec Summary'!D12+'Bear Case'!F24*0.7</f>
        <v>3278200.50010192</v>
      </c>
      <c r="D24" s="405" t="n">
        <f aca="false">'Exec Summary'!D12</f>
        <v>4022722.921025</v>
      </c>
      <c r="E24" s="708" t="n">
        <f aca="false">'Exec Summary'!D12+('Exec Summary'!C12*0.18)*0.8</f>
        <v>4983494.110625</v>
      </c>
      <c r="F24" s="405" t="n">
        <f aca="false">E24-C24</f>
        <v>1705293.61052308</v>
      </c>
      <c r="G24" s="6"/>
    </row>
    <row r="25" customFormat="false" ht="18" hidden="false" customHeight="true" outlineLevel="0" collapsed="false">
      <c r="B25" s="126" t="s">
        <v>2489</v>
      </c>
      <c r="C25" s="401" t="n">
        <f aca="false">-'Master Cost'!C55</f>
        <v>-1761550.6645</v>
      </c>
      <c r="D25" s="401" t="n">
        <f aca="false">-'Master Cost'!C55</f>
        <v>-1761550.6645</v>
      </c>
      <c r="E25" s="401" t="n">
        <f aca="false">-'Master Cost'!C55</f>
        <v>-1761550.6645</v>
      </c>
      <c r="F25" s="401" t="n">
        <f aca="false">E25-C25</f>
        <v>0</v>
      </c>
      <c r="G25" s="6"/>
    </row>
    <row r="26" customFormat="false" ht="27.75" hidden="false" customHeight="true" outlineLevel="0" collapsed="false">
      <c r="B26" s="439" t="s">
        <v>2490</v>
      </c>
      <c r="C26" s="611" t="n">
        <f aca="false">C24+C25</f>
        <v>1516649.83560192</v>
      </c>
      <c r="D26" s="611" t="n">
        <f aca="false">D24+D25</f>
        <v>2261172.256525</v>
      </c>
      <c r="E26" s="611" t="n">
        <f aca="false">E24+E25</f>
        <v>3221943.446125</v>
      </c>
      <c r="F26" s="611" t="n">
        <f aca="false">E26-C26</f>
        <v>1705293.61052308</v>
      </c>
      <c r="G26" s="6"/>
    </row>
    <row r="27" customFormat="false" ht="15" hidden="false" customHeight="true" outlineLevel="0" collapsed="false">
      <c r="B27" s="113" t="s">
        <v>2491</v>
      </c>
      <c r="C27" s="709" t="n">
        <f aca="false">C26/C23</f>
        <v>0.270423789488136</v>
      </c>
      <c r="D27" s="612" t="n">
        <f aca="false">D26/D23</f>
        <v>0.338903589599894</v>
      </c>
      <c r="E27" s="710" t="n">
        <f aca="false">E26/E23</f>
        <v>0.409240330169401</v>
      </c>
      <c r="F27" s="612" t="n">
        <f aca="false">E27-C27</f>
        <v>0.138816540681266</v>
      </c>
      <c r="G27" s="6"/>
    </row>
    <row r="28" customFormat="false" ht="25.5" hidden="false" customHeight="true" outlineLevel="0" collapsed="false">
      <c r="B28" s="117" t="s">
        <v>2492</v>
      </c>
      <c r="C28" s="711" t="n">
        <f aca="false">'NPV Sensitivity'!C27+(C26-D26)*UNIVERSAL_DRIVERS!$C$45</f>
        <v>-9682339.98798784</v>
      </c>
      <c r="D28" s="712" t="n">
        <f aca="false">'NPV Sensitivity'!C27</f>
        <v>-4321778.55734169</v>
      </c>
      <c r="E28" s="713" t="n">
        <f aca="false">'NPV Sensitivity'!C27+(E26-D26)*UNIVERSAL_DRIVERS!$C$45</f>
        <v>2595774.00777831</v>
      </c>
      <c r="F28" s="712" t="n">
        <f aca="false">E28-C28</f>
        <v>12278113.9957662</v>
      </c>
      <c r="G28" s="6"/>
    </row>
    <row r="29" customFormat="false" ht="15" hidden="false" customHeight="true" outlineLevel="0" collapsed="false">
      <c r="B29" s="113" t="s">
        <v>2493</v>
      </c>
      <c r="C29" s="385" t="n">
        <f aca="false">C26*1.205</f>
        <v>1827563.05190032</v>
      </c>
      <c r="D29" s="385" t="n">
        <f aca="false">D26*1.205</f>
        <v>2724712.56911263</v>
      </c>
      <c r="E29" s="385" t="n">
        <f aca="false">E26*1.205</f>
        <v>3882441.85258063</v>
      </c>
      <c r="F29" s="385" t="n">
        <f aca="false">E29-C29</f>
        <v>2054878.80068031</v>
      </c>
      <c r="G29" s="6"/>
    </row>
    <row r="30" customFormat="false" ht="15" hidden="false" customHeight="true" outlineLevel="0" collapsed="false">
      <c r="B30" s="113" t="s">
        <v>2494</v>
      </c>
      <c r="C30" s="714" t="n">
        <f aca="false">C29*8</f>
        <v>14620504.4152025</v>
      </c>
      <c r="D30" s="395" t="n">
        <f aca="false">D29*8</f>
        <v>21797700.552901</v>
      </c>
      <c r="E30" s="715" t="n">
        <f aca="false">E29*8</f>
        <v>31059534.820645</v>
      </c>
      <c r="F30" s="395" t="n">
        <f aca="false">E30-C30</f>
        <v>16439030.4054425</v>
      </c>
      <c r="G30" s="6"/>
    </row>
    <row r="31" customFormat="false" ht="36" hidden="false" customHeight="true" outlineLevel="0" collapsed="false">
      <c r="B31" s="716" t="str">
        <f aca="false">"  Investor MOIC @ Y7 ("&amp;TEXT(MASTER_ASSUMPTIONS!C15,"0.0%")&amp;" equity)"</f>
        <v>  Investor MOIC @ Y7 (45.0% equity)</v>
      </c>
      <c r="C31" s="717" t="n">
        <f aca="false">(C30*MASTER_ASSUMPTIONS!$C$15+(0.33*MASTER_ASSUMPTIONS!$C$15*MASTER_ASSUMPTIONS!$C$19+6*0.4*MASTER_ASSUMPTIONS!$C$15*'Master OpEx'!$D$30)*C26/D26)/CapEx!D70</f>
        <v>1.30553642745271</v>
      </c>
      <c r="D31" s="412" t="n">
        <f aca="false">(D30*MASTER_ASSUMPTIONS!$C$15+(0.33*MASTER_ASSUMPTIONS!$C$15*MASTER_ASSUMPTIONS!$C$19+6*0.4*MASTER_ASSUMPTIONS!$C$15*'Master OpEx'!$D$30))/CapEx!D70</f>
        <v>1.94642341319822</v>
      </c>
      <c r="E31" s="718" t="n">
        <f aca="false">(E30*MASTER_ASSUMPTIONS!$C$15+(0.33*MASTER_ASSUMPTIONS!$C$15*MASTER_ASSUMPTIONS!$C$19+6*0.4*MASTER_ASSUMPTIONS!$C$15*'Master OpEx'!$D$30)*E26/D26)/CapEx!D70</f>
        <v>2.77345794485204</v>
      </c>
      <c r="F31" s="719" t="n">
        <f aca="false">E31-C31</f>
        <v>1.46792151739933</v>
      </c>
      <c r="G31" s="6"/>
    </row>
    <row r="32" customFormat="false" ht="15" hidden="false" customHeight="true" outlineLevel="0" collapsed="false">
      <c r="B32" s="6"/>
      <c r="G32" s="6"/>
    </row>
    <row r="33" customFormat="false" ht="36" hidden="false" customHeight="true" outlineLevel="0" collapsed="false">
      <c r="B33" s="51" t="s">
        <v>2495</v>
      </c>
      <c r="C33" s="51"/>
      <c r="D33" s="51"/>
      <c r="E33" s="51"/>
      <c r="F33" s="51"/>
      <c r="G33" s="51"/>
    </row>
    <row r="34" customFormat="false" ht="21.75" hidden="false" customHeight="true" outlineLevel="0" collapsed="false">
      <c r="B34" s="97" t="s">
        <v>206</v>
      </c>
      <c r="C34" s="98" t="str">
        <f aca="false">"P10 Bear ("&amp;TEXT(MASTER_ASSUMPTIONS!C49,"0%")&amp;")"</f>
        <v>P10 Bear (15%)</v>
      </c>
      <c r="D34" s="98" t="str">
        <f aca="false">"P50 Base ("&amp;TEXT(MASTER_ASSUMPTIONS!C50,"0%")&amp;")"</f>
        <v>P50 Base (70%)</v>
      </c>
      <c r="E34" s="98" t="str">
        <f aca="false">"P90 Bull ("&amp;TEXT(MASTER_ASSUMPTIONS!C51,"0%")&amp;")"</f>
        <v>P90 Bull (15%)</v>
      </c>
      <c r="F34" s="98" t="s">
        <v>2496</v>
      </c>
      <c r="G34" s="6"/>
    </row>
    <row r="35" customFormat="false" ht="21.75" hidden="false" customHeight="true" outlineLevel="0" collapsed="false">
      <c r="B35" s="113" t="s">
        <v>2497</v>
      </c>
      <c r="C35" s="720" t="n">
        <f aca="false">$C$7*C23</f>
        <v>841262.803730769</v>
      </c>
      <c r="D35" s="720" t="n">
        <f aca="false">$D$7*D23</f>
        <v>4670415.505</v>
      </c>
      <c r="E35" s="720" t="n">
        <f aca="false">$E$7*E23</f>
        <v>1180947.92055</v>
      </c>
      <c r="F35" s="393" t="n">
        <f aca="false">C35+D35+E35</f>
        <v>6692626.22928077</v>
      </c>
      <c r="G35" s="6"/>
    </row>
    <row r="36" customFormat="false" ht="21.75" hidden="false" customHeight="true" outlineLevel="0" collapsed="false">
      <c r="B36" s="113" t="s">
        <v>2498</v>
      </c>
      <c r="C36" s="720" t="n">
        <f aca="false">$C$7*C24</f>
        <v>491730.075015288</v>
      </c>
      <c r="D36" s="720" t="n">
        <f aca="false">$D$7*D24</f>
        <v>2815906.0447175</v>
      </c>
      <c r="E36" s="720" t="n">
        <f aca="false">$E$7*E24</f>
        <v>747524.11659375</v>
      </c>
      <c r="F36" s="393" t="n">
        <f aca="false">C36+D36+E36</f>
        <v>4055160.23632654</v>
      </c>
      <c r="G36" s="6"/>
    </row>
    <row r="37" customFormat="false" ht="21.75" hidden="false" customHeight="true" outlineLevel="0" collapsed="false">
      <c r="B37" s="113" t="s">
        <v>2499</v>
      </c>
      <c r="C37" s="720" t="n">
        <f aca="false">$C$7*C26</f>
        <v>227497.475340288</v>
      </c>
      <c r="D37" s="720" t="n">
        <f aca="false">$D$7*D26</f>
        <v>1582820.5795675</v>
      </c>
      <c r="E37" s="720" t="n">
        <f aca="false">$E$7*E26</f>
        <v>483291.51691875</v>
      </c>
      <c r="F37" s="393" t="n">
        <f aca="false">C37+D37+E37</f>
        <v>2293609.57182654</v>
      </c>
      <c r="G37" s="6"/>
    </row>
    <row r="38" customFormat="false" ht="21.75" hidden="false" customHeight="true" outlineLevel="0" collapsed="false">
      <c r="B38" s="113" t="s">
        <v>2492</v>
      </c>
      <c r="C38" s="401" t="n">
        <f aca="false">$C$7*C28</f>
        <v>-1452350.99819818</v>
      </c>
      <c r="D38" s="401" t="n">
        <f aca="false">$D$7*D28</f>
        <v>-3025244.99013918</v>
      </c>
      <c r="E38" s="401" t="n">
        <f aca="false">$E$7*E28</f>
        <v>389366.101166747</v>
      </c>
      <c r="F38" s="712" t="n">
        <f aca="false">C38+D38+E38</f>
        <v>-4088229.88717061</v>
      </c>
      <c r="G38" s="6"/>
    </row>
    <row r="39" customFormat="false" ht="21.75" hidden="false" customHeight="true" outlineLevel="0" collapsed="false">
      <c r="B39" s="113" t="s">
        <v>2494</v>
      </c>
      <c r="C39" s="720" t="n">
        <f aca="false">$C$7*C30</f>
        <v>2193075.66228038</v>
      </c>
      <c r="D39" s="720" t="n">
        <f aca="false">$D$7*D30</f>
        <v>15258390.3870307</v>
      </c>
      <c r="E39" s="720" t="n">
        <f aca="false">$E$7*E30</f>
        <v>4658930.22309675</v>
      </c>
      <c r="F39" s="393" t="n">
        <f aca="false">C39+D39+E39</f>
        <v>22110396.2724078</v>
      </c>
      <c r="G39" s="6"/>
    </row>
    <row r="40" customFormat="false" ht="21.75" hidden="false" customHeight="true" outlineLevel="0" collapsed="false">
      <c r="B40" s="113" t="s">
        <v>2500</v>
      </c>
      <c r="C40" s="721" t="n">
        <f aca="false">$C$7*C31</f>
        <v>0.195830464117906</v>
      </c>
      <c r="D40" s="721" t="n">
        <f aca="false">$D$7*D31</f>
        <v>1.36249638923876</v>
      </c>
      <c r="E40" s="721" t="n">
        <f aca="false">$E$7*E31</f>
        <v>0.416018691727806</v>
      </c>
      <c r="F40" s="407" t="n">
        <f aca="false">C40+D40+E40</f>
        <v>1.97434554508447</v>
      </c>
      <c r="G40" s="6"/>
    </row>
    <row r="41" customFormat="false" ht="15" hidden="false" customHeight="true" outlineLevel="0" collapsed="false">
      <c r="B41" s="6"/>
      <c r="G41" s="6"/>
    </row>
    <row r="42" customFormat="false" ht="21.75" hidden="false" customHeight="true" outlineLevel="0" collapsed="false">
      <c r="B42" s="96" t="s">
        <v>2501</v>
      </c>
      <c r="C42" s="96"/>
      <c r="D42" s="96"/>
      <c r="E42" s="96"/>
      <c r="F42" s="96"/>
      <c r="G42" s="96"/>
    </row>
    <row r="43" customFormat="false" ht="30" hidden="false" customHeight="true" outlineLevel="0" collapsed="false">
      <c r="B43" s="722" t="s">
        <v>2502</v>
      </c>
      <c r="C43" s="578" t="n">
        <f aca="false">F35</f>
        <v>6692626.22928077</v>
      </c>
      <c r="G43" s="6"/>
    </row>
    <row r="44" customFormat="false" ht="30" hidden="false" customHeight="true" outlineLevel="0" collapsed="false">
      <c r="B44" s="660" t="s">
        <v>2503</v>
      </c>
      <c r="C44" s="578" t="n">
        <f aca="false">F37</f>
        <v>2293609.57182654</v>
      </c>
      <c r="G44" s="6"/>
    </row>
    <row r="45" customFormat="false" ht="36" hidden="false" customHeight="true" outlineLevel="0" collapsed="false">
      <c r="B45" s="723" t="s">
        <v>2504</v>
      </c>
      <c r="C45" s="724" t="n">
        <f aca="false">F38</f>
        <v>-4088229.88717061</v>
      </c>
      <c r="G45" s="6"/>
    </row>
    <row r="46" customFormat="false" ht="36" hidden="false" customHeight="true" outlineLevel="0" collapsed="false">
      <c r="B46" s="723" t="s">
        <v>2505</v>
      </c>
      <c r="C46" s="725" t="n">
        <f aca="false">F40</f>
        <v>1.97434554508447</v>
      </c>
      <c r="G46" s="6"/>
    </row>
    <row r="47" customFormat="false" ht="15" hidden="false" customHeight="true" outlineLevel="0" collapsed="false">
      <c r="B47" s="6"/>
      <c r="G47" s="6"/>
    </row>
    <row r="48" customFormat="false" ht="21.75" hidden="false" customHeight="true" outlineLevel="0" collapsed="false">
      <c r="B48" s="43" t="s">
        <v>2506</v>
      </c>
      <c r="C48" s="43"/>
      <c r="D48" s="43"/>
      <c r="E48" s="43"/>
      <c r="F48" s="43"/>
      <c r="G48" s="43"/>
    </row>
    <row r="49" customFormat="false" ht="51" hidden="false" customHeight="true" outlineLevel="0" collapsed="false">
      <c r="B49" s="414" t="s">
        <v>2507</v>
      </c>
      <c r="C49" s="414"/>
      <c r="D49" s="414"/>
      <c r="E49" s="414"/>
      <c r="F49" s="414"/>
      <c r="G49" s="414"/>
    </row>
    <row r="50" customFormat="false" ht="51" hidden="false" customHeight="true" outlineLevel="0" collapsed="false">
      <c r="B50" s="414" t="s">
        <v>2508</v>
      </c>
      <c r="C50" s="414"/>
      <c r="D50" s="414"/>
      <c r="E50" s="414"/>
      <c r="F50" s="414"/>
      <c r="G50" s="414"/>
    </row>
    <row r="51" customFormat="false" ht="51" hidden="false" customHeight="true" outlineLevel="0" collapsed="false">
      <c r="B51" s="414" t="s">
        <v>2509</v>
      </c>
      <c r="C51" s="414"/>
      <c r="D51" s="414"/>
      <c r="E51" s="414"/>
      <c r="F51" s="414"/>
      <c r="G51" s="414"/>
    </row>
    <row r="52" customFormat="false" ht="66" hidden="false" customHeight="true" outlineLevel="0" collapsed="false">
      <c r="B52" s="414" t="s">
        <v>2510</v>
      </c>
      <c r="C52" s="414"/>
      <c r="D52" s="414"/>
      <c r="E52" s="414"/>
      <c r="F52" s="414"/>
      <c r="G52" s="414"/>
    </row>
    <row r="53" customFormat="false" ht="66" hidden="false" customHeight="true" outlineLevel="0" collapsed="false">
      <c r="B53" s="414" t="s">
        <v>2511</v>
      </c>
      <c r="C53" s="414"/>
      <c r="D53" s="414"/>
      <c r="E53" s="414"/>
      <c r="F53" s="414"/>
      <c r="G53" s="414"/>
    </row>
    <row r="54" customFormat="false" ht="51" hidden="false" customHeight="true" outlineLevel="0" collapsed="false">
      <c r="B54" s="414" t="s">
        <v>2512</v>
      </c>
      <c r="C54" s="414"/>
      <c r="D54" s="414"/>
      <c r="E54" s="414"/>
      <c r="F54" s="414"/>
      <c r="G54" s="414"/>
    </row>
    <row r="55" customFormat="false" ht="51" hidden="false" customHeight="true" outlineLevel="0" collapsed="false">
      <c r="B55" s="414" t="s">
        <v>2513</v>
      </c>
      <c r="C55" s="414"/>
      <c r="D55" s="414"/>
      <c r="E55" s="414"/>
      <c r="F55" s="414"/>
      <c r="G55" s="414"/>
    </row>
    <row r="56" customFormat="false" ht="81" hidden="false" customHeight="true" outlineLevel="0" collapsed="false">
      <c r="B56" s="726" t="str">
        <f aca="false">"⊙ Investor MOIC: Y0 check $"&amp;TEXT(MASTER_ASSUMPTIONS!C13/1000000,"0.00")&amp;"M → Y3 = (LP stake × Exit Value $"&amp;TEXT(MASTER_ASSUMPTIONS!C26/1000000,"0.0")&amp;"M + cum dividends + Round 2 secondary proceeds) / $"&amp;TEXT(MASTER_ASSUMPTIONS!C13/1000000,"0.00")&amp;"M check"</f>
        <v>⊙ Investor MOIC: Y0 check $7.82M → Y3 = (LP stake × Exit Value $34.5M + cum dividends + Round 2 secondary proceeds) / $7.82M check</v>
      </c>
      <c r="G56" s="6"/>
    </row>
    <row r="57" customFormat="false" ht="51" hidden="false" customHeight="true" outlineLevel="0" collapsed="false">
      <c r="B57" s="414" t="s">
        <v>2514</v>
      </c>
      <c r="C57" s="414"/>
      <c r="D57" s="414"/>
      <c r="E57" s="414"/>
      <c r="F57" s="414"/>
      <c r="G57" s="414"/>
    </row>
    <row r="58" customFormat="false" ht="51" hidden="false" customHeight="true" outlineLevel="0" collapsed="false">
      <c r="B58" s="414" t="s">
        <v>2515</v>
      </c>
      <c r="C58" s="414"/>
      <c r="D58" s="414"/>
      <c r="E58" s="414"/>
      <c r="F58" s="414"/>
      <c r="G58" s="414"/>
    </row>
  </sheetData>
  <mergeCells count="18">
    <mergeCell ref="B2:G2"/>
    <mergeCell ref="B3:G3"/>
    <mergeCell ref="B5:G5"/>
    <mergeCell ref="C8:F8"/>
    <mergeCell ref="B10:G10"/>
    <mergeCell ref="B21:G21"/>
    <mergeCell ref="B33:G33"/>
    <mergeCell ref="B42:G42"/>
    <mergeCell ref="B48:G48"/>
    <mergeCell ref="B49:G49"/>
    <mergeCell ref="B50:G50"/>
    <mergeCell ref="B51:G51"/>
    <mergeCell ref="B52:G52"/>
    <mergeCell ref="B53:G53"/>
    <mergeCell ref="B54:G54"/>
    <mergeCell ref="B55:G55"/>
    <mergeCell ref="B57:G57"/>
    <mergeCell ref="B58:G5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42.16"/>
    <col collapsed="false" customWidth="true" hidden="false" outlineLevel="0" max="7" min="3" style="0" width="11"/>
  </cols>
  <sheetData>
    <row r="1" customFormat="false" ht="15" hidden="false" customHeight="true" outlineLevel="0" collapsed="false">
      <c r="B1" s="6"/>
      <c r="F1" s="6"/>
      <c r="G1" s="6"/>
    </row>
    <row r="2" customFormat="false" ht="36" hidden="false" customHeight="true" outlineLevel="0" collapsed="false">
      <c r="B2" s="155" t="s">
        <v>2516</v>
      </c>
      <c r="F2" s="6"/>
      <c r="G2" s="6"/>
    </row>
    <row r="3" customFormat="false" ht="51" hidden="false" customHeight="true" outlineLevel="0" collapsed="false">
      <c r="B3" s="6" t="s">
        <v>2517</v>
      </c>
      <c r="F3" s="6"/>
      <c r="G3" s="6"/>
    </row>
    <row r="4" customFormat="false" ht="15" hidden="false" customHeight="true" outlineLevel="0" collapsed="false">
      <c r="B4" s="6"/>
      <c r="F4" s="6"/>
      <c r="G4" s="6"/>
    </row>
    <row r="5" customFormat="false" ht="36" hidden="false" customHeight="true" outlineLevel="0" collapsed="false">
      <c r="B5" s="156" t="s">
        <v>2518</v>
      </c>
      <c r="F5" s="6"/>
      <c r="G5" s="6"/>
    </row>
    <row r="6" customFormat="false" ht="15" hidden="false" customHeight="true" outlineLevel="0" collapsed="false">
      <c r="B6" s="6"/>
      <c r="F6" s="6"/>
      <c r="G6" s="6"/>
    </row>
    <row r="7" customFormat="false" ht="15" hidden="false" customHeight="true" outlineLevel="0" collapsed="false">
      <c r="B7" s="159" t="s">
        <v>136</v>
      </c>
      <c r="C7" s="193" t="s">
        <v>2519</v>
      </c>
      <c r="D7" s="193" t="s">
        <v>2520</v>
      </c>
      <c r="E7" s="193" t="s">
        <v>2521</v>
      </c>
      <c r="F7" s="159" t="s">
        <v>2522</v>
      </c>
      <c r="G7" s="159" t="s">
        <v>2523</v>
      </c>
    </row>
    <row r="8" customFormat="false" ht="66" hidden="false" customHeight="true" outlineLevel="0" collapsed="false">
      <c r="B8" s="6" t="s">
        <v>619</v>
      </c>
      <c r="C8" s="727" t="n">
        <f aca="false">'Master Revenue'!C14/1000</f>
        <v>166.04918</v>
      </c>
      <c r="D8" s="727" t="n">
        <f aca="false">'Master Revenue'!D14/1000</f>
        <v>287</v>
      </c>
      <c r="E8" s="727" t="n">
        <f aca="false">'Master Revenue'!E14/1000</f>
        <v>363.968</v>
      </c>
      <c r="F8" s="728" t="n">
        <f aca="false">E8/C8</f>
        <v>2.1919289212991</v>
      </c>
      <c r="G8" s="6" t="s">
        <v>2524</v>
      </c>
    </row>
    <row r="9" customFormat="false" ht="66" hidden="false" customHeight="true" outlineLevel="0" collapsed="false">
      <c r="B9" s="6" t="s">
        <v>2525</v>
      </c>
      <c r="C9" s="727" t="n">
        <f aca="false">'Master Revenue'!C10/1000</f>
        <v>354.375050832</v>
      </c>
      <c r="D9" s="727" t="n">
        <f aca="false">'Master Revenue'!D10/1000</f>
        <v>693.6564</v>
      </c>
      <c r="E9" s="727" t="n">
        <f aca="false">'Master Revenue'!E10/1000</f>
        <v>1394.430337872</v>
      </c>
      <c r="F9" s="728" t="n">
        <f aca="false">E9/C9</f>
        <v>3.93489985990313</v>
      </c>
      <c r="G9" s="6" t="s">
        <v>2526</v>
      </c>
    </row>
    <row r="10" customFormat="false" ht="81" hidden="false" customHeight="true" outlineLevel="0" collapsed="false">
      <c r="B10" s="6" t="s">
        <v>620</v>
      </c>
      <c r="C10" s="727" t="n">
        <f aca="false">'Master Revenue'!C15/1000</f>
        <v>191.73732</v>
      </c>
      <c r="D10" s="727" t="n">
        <f aca="false">'Master Revenue'!D15/1000</f>
        <v>289.5</v>
      </c>
      <c r="E10" s="727" t="n">
        <f aca="false">'Master Revenue'!E15/1000</f>
        <v>355.0866</v>
      </c>
      <c r="F10" s="728" t="n">
        <f aca="false">E10/C10</f>
        <v>1.85194306460526</v>
      </c>
      <c r="G10" s="6" t="s">
        <v>2527</v>
      </c>
    </row>
    <row r="11" customFormat="false" ht="66" hidden="false" customHeight="true" outlineLevel="0" collapsed="false">
      <c r="B11" s="6" t="s">
        <v>1541</v>
      </c>
      <c r="C11" s="727" t="n">
        <f aca="false">'Master Revenue'!C8/1000</f>
        <v>989.5077375</v>
      </c>
      <c r="D11" s="727" t="n">
        <f aca="false">'Master Revenue'!D8/1000</f>
        <v>1206.21</v>
      </c>
      <c r="E11" s="727" t="n">
        <f aca="false">'Master Revenue'!E8/1000</f>
        <v>1462.39005</v>
      </c>
      <c r="F11" s="728" t="n">
        <f aca="false">E11/C11</f>
        <v>1.477896528323</v>
      </c>
      <c r="G11" s="6" t="s">
        <v>2528</v>
      </c>
    </row>
    <row r="12" customFormat="false" ht="66" hidden="false" customHeight="true" outlineLevel="0" collapsed="false">
      <c r="B12" s="6" t="s">
        <v>618</v>
      </c>
      <c r="C12" s="727" t="n">
        <f aca="false">'Master Revenue'!C13/1000</f>
        <v>568.252279752</v>
      </c>
      <c r="D12" s="727" t="n">
        <f aca="false">'Master Revenue'!D13/1000</f>
        <v>789.7143</v>
      </c>
      <c r="E12" s="727" t="n">
        <f aca="false">'Master Revenue'!E13/1000</f>
        <v>1772.9148228</v>
      </c>
      <c r="F12" s="729" t="n">
        <f aca="false">E12/C12</f>
        <v>3.11994317660062</v>
      </c>
      <c r="G12" s="6" t="s">
        <v>2529</v>
      </c>
    </row>
    <row r="13" customFormat="false" ht="51" hidden="false" customHeight="true" outlineLevel="0" collapsed="false">
      <c r="B13" s="6" t="s">
        <v>616</v>
      </c>
      <c r="C13" s="727" t="n">
        <f aca="false">'Master Revenue'!C11/1000</f>
        <v>322.7676054992</v>
      </c>
      <c r="D13" s="727" t="n">
        <f aca="false">'Master Revenue'!D11/1000</f>
        <v>488.8731</v>
      </c>
      <c r="E13" s="727" t="n">
        <f aca="false">'Master Revenue'!E11/1000</f>
        <v>621.625293696</v>
      </c>
      <c r="F13" s="730" t="n">
        <f aca="false">E13/C13</f>
        <v>1.92592219016087</v>
      </c>
      <c r="G13" s="6" t="s">
        <v>2530</v>
      </c>
    </row>
    <row r="14" customFormat="false" ht="15" hidden="false" customHeight="true" outlineLevel="0" collapsed="false">
      <c r="B14" s="6"/>
      <c r="F14" s="6"/>
      <c r="G14" s="6"/>
    </row>
    <row r="15" customFormat="false" ht="15" hidden="false" customHeight="true" outlineLevel="0" collapsed="false">
      <c r="B15" s="6"/>
      <c r="F15" s="6"/>
      <c r="G15" s="6"/>
    </row>
    <row r="16" customFormat="false" ht="36" hidden="false" customHeight="true" outlineLevel="0" collapsed="false">
      <c r="B16" s="156" t="s">
        <v>2531</v>
      </c>
      <c r="F16" s="6"/>
      <c r="G16" s="6"/>
    </row>
    <row r="17" customFormat="false" ht="15" hidden="false" customHeight="true" outlineLevel="0" collapsed="false">
      <c r="B17" s="6"/>
      <c r="F17" s="6"/>
      <c r="G17" s="6"/>
    </row>
    <row r="18" customFormat="false" ht="15" hidden="false" customHeight="true" outlineLevel="0" collapsed="false">
      <c r="B18" s="159" t="s">
        <v>136</v>
      </c>
      <c r="C18" s="193" t="s">
        <v>2532</v>
      </c>
      <c r="D18" s="193" t="s">
        <v>2533</v>
      </c>
      <c r="E18" s="193" t="s">
        <v>2534</v>
      </c>
      <c r="F18" s="159" t="s">
        <v>2535</v>
      </c>
      <c r="G18" s="159" t="s">
        <v>2536</v>
      </c>
    </row>
    <row r="19" customFormat="false" ht="15" hidden="false" customHeight="true" outlineLevel="0" collapsed="false">
      <c r="B19" s="6" t="s">
        <v>619</v>
      </c>
      <c r="C19" s="727" t="n">
        <f aca="false">'Master Revenue'!C14*MASTER_ASSUMPTIONS!$C$49/1000</f>
        <v>24.907377</v>
      </c>
      <c r="D19" s="727" t="n">
        <f aca="false">'Master Revenue'!D14*MASTER_ASSUMPTIONS!$C$50/1000</f>
        <v>200.9</v>
      </c>
      <c r="E19" s="727" t="n">
        <f aca="false">'Master Revenue'!E14*MASTER_ASSUMPTIONS!$C$51/1000</f>
        <v>54.5952</v>
      </c>
      <c r="F19" s="731" t="n">
        <f aca="false">C19+D19+E19</f>
        <v>280.402577</v>
      </c>
      <c r="G19" s="276" t="n">
        <f aca="false">F19/('Master Revenue'!D14/1000)-1</f>
        <v>-0.0229875365853658</v>
      </c>
    </row>
    <row r="20" customFormat="false" ht="15" hidden="false" customHeight="true" outlineLevel="0" collapsed="false">
      <c r="B20" s="6" t="s">
        <v>2525</v>
      </c>
      <c r="C20" s="727" t="n">
        <f aca="false">'Master Revenue'!C10*MASTER_ASSUMPTIONS!$C$49/1000</f>
        <v>53.1562576248</v>
      </c>
      <c r="D20" s="727" t="n">
        <f aca="false">'Master Revenue'!D10*MASTER_ASSUMPTIONS!$C$50/1000</f>
        <v>485.55948</v>
      </c>
      <c r="E20" s="727" t="n">
        <f aca="false">'Master Revenue'!E10*MASTER_ASSUMPTIONS!$C$51/1000</f>
        <v>209.1645506808</v>
      </c>
      <c r="F20" s="731" t="n">
        <f aca="false">C20+D20+E20</f>
        <v>747.8802883056</v>
      </c>
      <c r="G20" s="276" t="n">
        <f aca="false">F20/('Master Revenue'!D10/1000)-1</f>
        <v>0.0781711064809609</v>
      </c>
    </row>
    <row r="21" customFormat="false" ht="15" hidden="false" customHeight="true" outlineLevel="0" collapsed="false">
      <c r="B21" s="6" t="s">
        <v>620</v>
      </c>
      <c r="C21" s="727" t="n">
        <f aca="false">'Master Revenue'!C15*MASTER_ASSUMPTIONS!$C$49/1000</f>
        <v>28.760598</v>
      </c>
      <c r="D21" s="727" t="n">
        <f aca="false">'Master Revenue'!D15*MASTER_ASSUMPTIONS!$C$50/1000</f>
        <v>202.65</v>
      </c>
      <c r="E21" s="727" t="n">
        <f aca="false">'Master Revenue'!E15*MASTER_ASSUMPTIONS!$C$51/1000</f>
        <v>53.26299</v>
      </c>
      <c r="F21" s="731" t="n">
        <f aca="false">C21+D21+E21</f>
        <v>284.673588</v>
      </c>
      <c r="G21" s="276" t="n">
        <f aca="false">F21/('Master Revenue'!D15/1000)-1</f>
        <v>-0.0166715440414508</v>
      </c>
    </row>
    <row r="22" customFormat="false" ht="15" hidden="false" customHeight="true" outlineLevel="0" collapsed="false">
      <c r="B22" s="6" t="s">
        <v>1541</v>
      </c>
      <c r="C22" s="727" t="n">
        <f aca="false">'Master Revenue'!C8*MASTER_ASSUMPTIONS!$C$49/1000</f>
        <v>148.426160625</v>
      </c>
      <c r="D22" s="727" t="n">
        <f aca="false">'Master Revenue'!D8*MASTER_ASSUMPTIONS!$C$50/1000</f>
        <v>844.347</v>
      </c>
      <c r="E22" s="727" t="n">
        <f aca="false">'Master Revenue'!E8*MASTER_ASSUMPTIONS!$C$51/1000</f>
        <v>219.3585075</v>
      </c>
      <c r="F22" s="731" t="n">
        <f aca="false">C22+D22+E22</f>
        <v>1212.131668125</v>
      </c>
      <c r="G22" s="276" t="n">
        <f aca="false">F22/('Master Revenue'!D8/1000)-1</f>
        <v>0.00490931771830772</v>
      </c>
    </row>
    <row r="23" customFormat="false" ht="15" hidden="false" customHeight="true" outlineLevel="0" collapsed="false">
      <c r="B23" s="6"/>
      <c r="F23" s="6"/>
      <c r="G23" s="6"/>
    </row>
    <row r="24" customFormat="false" ht="15" hidden="false" customHeight="true" outlineLevel="0" collapsed="false">
      <c r="B24" s="6"/>
      <c r="F24" s="6"/>
      <c r="G24" s="6"/>
    </row>
    <row r="25" customFormat="false" ht="15" hidden="false" customHeight="true" outlineLevel="0" collapsed="false">
      <c r="B25" s="156" t="s">
        <v>2537</v>
      </c>
      <c r="F25" s="6"/>
      <c r="G25" s="6"/>
    </row>
    <row r="26" customFormat="false" ht="15" hidden="false" customHeight="true" outlineLevel="0" collapsed="false">
      <c r="B26" s="6"/>
      <c r="F26" s="6"/>
      <c r="G26" s="6"/>
    </row>
    <row r="27" customFormat="false" ht="66" hidden="false" customHeight="true" outlineLevel="0" collapsed="false">
      <c r="B27" s="6" t="s">
        <v>2538</v>
      </c>
      <c r="F27" s="6"/>
      <c r="G27" s="6"/>
    </row>
    <row r="28" customFormat="false" ht="66" hidden="false" customHeight="true" outlineLevel="0" collapsed="false">
      <c r="B28" s="6" t="s">
        <v>2539</v>
      </c>
      <c r="F28" s="6"/>
      <c r="G28" s="6"/>
    </row>
    <row r="29" customFormat="false" ht="51" hidden="false" customHeight="true" outlineLevel="0" collapsed="false">
      <c r="B29" s="6" t="s">
        <v>2540</v>
      </c>
      <c r="F29" s="6"/>
      <c r="G29" s="6"/>
    </row>
    <row r="30" customFormat="false" ht="96" hidden="false" customHeight="true" outlineLevel="0" collapsed="false">
      <c r="B30" s="6" t="s">
        <v>2541</v>
      </c>
      <c r="F30" s="6"/>
      <c r="G30" s="6"/>
    </row>
    <row r="31" customFormat="false" ht="66" hidden="false" customHeight="true" outlineLevel="0" collapsed="false">
      <c r="B31" s="6" t="s">
        <v>2542</v>
      </c>
      <c r="F31" s="6"/>
      <c r="G3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04848"/>
    <pageSetUpPr fitToPage="false"/>
  </sheetPr>
  <dimension ref="B1:M8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61" activePane="bottomRight" state="frozen"/>
      <selection pane="topLeft" activeCell="A1" activeCellId="0" sqref="A1"/>
      <selection pane="topRight" activeCell="B1" activeCellId="0" sqref="B1"/>
      <selection pane="bottomLeft" activeCell="A61" activeCellId="0" sqref="A61"/>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55"/>
    <col collapsed="false" customWidth="true" hidden="false" outlineLevel="0" max="3" min="3" style="0" width="35.67"/>
    <col collapsed="false" customWidth="true" hidden="false" outlineLevel="0" max="5" min="4" style="0" width="13"/>
    <col collapsed="false" customWidth="true" hidden="false" outlineLevel="0" max="6" min="6" style="0" width="13.83"/>
    <col collapsed="false" customWidth="true" hidden="false" outlineLevel="0" max="7" min="7" style="0" width="44"/>
    <col collapsed="false" customWidth="true" hidden="false" outlineLevel="0" max="13" min="8" style="0" width="9"/>
  </cols>
  <sheetData>
    <row r="1" customFormat="false" ht="3.75" hidden="false" customHeight="true" outlineLevel="0" collapsed="false">
      <c r="B1" s="417"/>
      <c r="C1" s="418"/>
      <c r="D1" s="418"/>
      <c r="E1" s="418"/>
      <c r="F1" s="418"/>
      <c r="G1" s="418"/>
      <c r="M1" s="6"/>
    </row>
    <row r="2" customFormat="false" ht="36" hidden="false" customHeight="true" outlineLevel="0" collapsed="false">
      <c r="B2" s="15" t="s">
        <v>2543</v>
      </c>
      <c r="C2" s="15"/>
      <c r="D2" s="15"/>
      <c r="E2" s="15"/>
      <c r="F2" s="15"/>
      <c r="G2" s="15"/>
      <c r="M2" s="6"/>
    </row>
    <row r="3" customFormat="false" ht="51" hidden="false" customHeight="true" outlineLevel="0" collapsed="false">
      <c r="B3" s="529" t="s">
        <v>2544</v>
      </c>
      <c r="C3" s="529"/>
      <c r="D3" s="529"/>
      <c r="E3" s="529"/>
      <c r="F3" s="529"/>
      <c r="G3" s="529"/>
      <c r="M3" s="6"/>
    </row>
    <row r="4" customFormat="false" ht="15" hidden="false" customHeight="true" outlineLevel="0" collapsed="false">
      <c r="B4" s="6"/>
      <c r="M4" s="6"/>
    </row>
    <row r="5" customFormat="false" ht="36" hidden="false" customHeight="true" outlineLevel="0" collapsed="false">
      <c r="B5" s="43" t="s">
        <v>2545</v>
      </c>
      <c r="C5" s="43"/>
      <c r="D5" s="43"/>
      <c r="E5" s="43"/>
      <c r="F5" s="43"/>
      <c r="G5" s="43"/>
      <c r="M5" s="6"/>
    </row>
    <row r="6" customFormat="false" ht="216" hidden="false" customHeight="true" outlineLevel="0" collapsed="false">
      <c r="B6" s="49" t="s">
        <v>2546</v>
      </c>
      <c r="M6" s="6"/>
    </row>
    <row r="7" customFormat="false" ht="15.75" hidden="false" customHeight="true" outlineLevel="0" collapsed="false">
      <c r="B7" s="6"/>
      <c r="M7" s="6"/>
    </row>
    <row r="8" customFormat="false" ht="15.75" hidden="false" customHeight="true" outlineLevel="0" collapsed="false">
      <c r="B8" s="6"/>
      <c r="M8" s="6"/>
    </row>
    <row r="9" customFormat="false" ht="15.75" hidden="false" customHeight="true" outlineLevel="0" collapsed="false">
      <c r="B9" s="6"/>
      <c r="M9" s="6"/>
    </row>
    <row r="10" customFormat="false" ht="15.75" hidden="false" customHeight="true" outlineLevel="0" collapsed="false">
      <c r="B10" s="6"/>
      <c r="M10" s="6"/>
    </row>
    <row r="11" customFormat="false" ht="15.75" hidden="false" customHeight="true" outlineLevel="0" collapsed="false">
      <c r="B11" s="6"/>
      <c r="M11" s="6"/>
    </row>
    <row r="12" customFormat="false" ht="15.75" hidden="false" customHeight="true" outlineLevel="0" collapsed="false">
      <c r="B12" s="6"/>
      <c r="M12" s="6"/>
    </row>
    <row r="13" customFormat="false" ht="15.75" hidden="false" customHeight="true" outlineLevel="0" collapsed="false">
      <c r="B13" s="6"/>
      <c r="M13" s="6"/>
    </row>
    <row r="14" customFormat="false" ht="36" hidden="false" customHeight="true" outlineLevel="0" collapsed="false">
      <c r="B14" s="6" t="s">
        <v>2547</v>
      </c>
      <c r="M14" s="6"/>
    </row>
    <row r="15" customFormat="false" ht="15" hidden="false" customHeight="true" outlineLevel="0" collapsed="false">
      <c r="B15" s="6"/>
      <c r="M15" s="6"/>
    </row>
    <row r="16" customFormat="false" ht="21.75" hidden="false" customHeight="true" outlineLevel="0" collapsed="false">
      <c r="B16" s="439" t="s">
        <v>2548</v>
      </c>
      <c r="M16" s="6"/>
    </row>
    <row r="17" customFormat="false" ht="21.75" hidden="false" customHeight="true" outlineLevel="0" collapsed="false">
      <c r="B17" s="97" t="s">
        <v>392</v>
      </c>
      <c r="C17" s="98" t="s">
        <v>203</v>
      </c>
      <c r="D17" s="98" t="s">
        <v>2444</v>
      </c>
      <c r="E17" s="98" t="s">
        <v>2549</v>
      </c>
      <c r="F17" s="98" t="s">
        <v>2550</v>
      </c>
      <c r="G17" s="551" t="s">
        <v>1309</v>
      </c>
      <c r="M17" s="6"/>
    </row>
    <row r="18" customFormat="false" ht="21.75" hidden="false" customHeight="true" outlineLevel="0" collapsed="false">
      <c r="B18" s="113" t="s">
        <v>2464</v>
      </c>
      <c r="C18" s="706" t="n">
        <v>6</v>
      </c>
      <c r="D18" s="732" t="n">
        <v>4</v>
      </c>
      <c r="E18" s="706" t="s">
        <v>2551</v>
      </c>
      <c r="F18" s="664" t="n">
        <f aca="false">-2*'Events · Drivers'!C21*12</f>
        <v>-228000</v>
      </c>
      <c r="G18" s="538" t="s">
        <v>2552</v>
      </c>
      <c r="M18" s="6"/>
    </row>
    <row r="19" customFormat="false" ht="81" hidden="false" customHeight="true" outlineLevel="0" collapsed="false">
      <c r="B19" s="113" t="s">
        <v>2466</v>
      </c>
      <c r="C19" s="733" t="n">
        <v>0.5</v>
      </c>
      <c r="D19" s="734" t="n">
        <v>0</v>
      </c>
      <c r="E19" s="706" t="s">
        <v>2553</v>
      </c>
      <c r="F19" s="664" t="n">
        <f aca="false">-'Sponsorships · Drivers'!D7*'Sponsorships · Drivers'!D8*'Sponsorships · Drivers'!D9</f>
        <v>-49500</v>
      </c>
      <c r="G19" s="538" t="s">
        <v>2554</v>
      </c>
      <c r="M19" s="6"/>
    </row>
    <row r="20" customFormat="false" ht="21.75" hidden="false" customHeight="true" outlineLevel="0" collapsed="false">
      <c r="B20" s="113" t="s">
        <v>2424</v>
      </c>
      <c r="C20" s="706" t="n">
        <v>195</v>
      </c>
      <c r="D20" s="732" t="n">
        <v>140</v>
      </c>
      <c r="E20" s="706" t="s">
        <v>2555</v>
      </c>
      <c r="F20" s="664" t="n">
        <f aca="false">-55/195*'Master Revenue'!D9</f>
        <v>-449891.538461538</v>
      </c>
      <c r="G20" s="538" t="s">
        <v>2556</v>
      </c>
      <c r="M20" s="6"/>
    </row>
    <row r="21" customFormat="false" ht="21.75" hidden="false" customHeight="true" outlineLevel="0" collapsed="false">
      <c r="B21" s="113" t="s">
        <v>2471</v>
      </c>
      <c r="C21" s="706" t="s">
        <v>2472</v>
      </c>
      <c r="D21" s="732" t="s">
        <v>1796</v>
      </c>
      <c r="E21" s="706" t="s">
        <v>2557</v>
      </c>
      <c r="F21" s="664" t="n">
        <f aca="false">-'F&amp;B · Drivers'!C26*0.1*'F&amp;B · Drivers'!D8</f>
        <v>-19890</v>
      </c>
      <c r="G21" s="538" t="s">
        <v>2558</v>
      </c>
      <c r="M21" s="6"/>
    </row>
    <row r="22" customFormat="false" ht="21.75" hidden="false" customHeight="true" outlineLevel="0" collapsed="false">
      <c r="B22" s="113" t="s">
        <v>2425</v>
      </c>
      <c r="C22" s="706" t="s">
        <v>2477</v>
      </c>
      <c r="D22" s="732" t="s">
        <v>2476</v>
      </c>
      <c r="E22" s="706" t="s">
        <v>2559</v>
      </c>
      <c r="F22" s="664" t="n">
        <f aca="false">-12/40*'Master Revenue'!D10</f>
        <v>-208096.92</v>
      </c>
      <c r="G22" s="538" t="s">
        <v>2560</v>
      </c>
      <c r="M22" s="6"/>
    </row>
    <row r="23" customFormat="false" ht="66" hidden="false" customHeight="true" outlineLevel="0" collapsed="false">
      <c r="B23" s="113" t="s">
        <v>2327</v>
      </c>
      <c r="C23" s="706" t="n">
        <v>80</v>
      </c>
      <c r="D23" s="732" t="n">
        <v>50</v>
      </c>
      <c r="E23" s="706" t="s">
        <v>2561</v>
      </c>
      <c r="F23" s="664" t="n">
        <f aca="false">-30*('Museum · Drivers'!D10*'Museum · Drivers'!D14+'Museum · Drivers'!D11*'Museum · Drivers'!D15+'Museum · Drivers'!D12*'Museum · Drivers'!D16)*300</f>
        <v>-108225</v>
      </c>
      <c r="G23" s="538" t="s">
        <v>2562</v>
      </c>
      <c r="M23" s="6"/>
    </row>
    <row r="24" customFormat="false" ht="66" hidden="false" customHeight="true" outlineLevel="0" collapsed="false">
      <c r="B24" s="650" t="s">
        <v>2563</v>
      </c>
      <c r="C24" s="418"/>
      <c r="D24" s="418"/>
      <c r="E24" s="418"/>
      <c r="F24" s="446" t="n">
        <f aca="false">SUM(F18:F23)</f>
        <v>-1063603.45846154</v>
      </c>
      <c r="G24" s="735" t="s">
        <v>2564</v>
      </c>
      <c r="M24" s="6"/>
    </row>
    <row r="25" customFormat="false" ht="15" hidden="false" customHeight="true" outlineLevel="0" collapsed="false">
      <c r="B25" s="6"/>
      <c r="M25" s="6"/>
    </row>
    <row r="26" customFormat="false" ht="36" hidden="false" customHeight="true" outlineLevel="0" collapsed="false">
      <c r="B26" s="439" t="s">
        <v>2565</v>
      </c>
      <c r="M26" s="6"/>
    </row>
    <row r="27" customFormat="false" ht="21.75" hidden="false" customHeight="true" outlineLevel="0" collapsed="false">
      <c r="B27" s="97" t="s">
        <v>206</v>
      </c>
      <c r="C27" s="98" t="s">
        <v>2566</v>
      </c>
      <c r="D27" s="98" t="s">
        <v>2567</v>
      </c>
      <c r="E27" s="98" t="s">
        <v>2568</v>
      </c>
      <c r="F27" s="98" t="s">
        <v>2569</v>
      </c>
      <c r="M27" s="6"/>
    </row>
    <row r="28" customFormat="false" ht="15" hidden="false" customHeight="true" outlineLevel="0" collapsed="false">
      <c r="B28" s="113" t="s">
        <v>2570</v>
      </c>
      <c r="C28" s="385" t="n">
        <f aca="false">'Master Revenue'!D17</f>
        <v>6672022.15</v>
      </c>
      <c r="D28" s="385" t="n">
        <f aca="false">'Master Revenue'!D17+F24</f>
        <v>5608418.69153846</v>
      </c>
      <c r="E28" s="385" t="n">
        <f aca="false">D28-C28</f>
        <v>-1063603.45846154</v>
      </c>
      <c r="F28" s="736" t="n">
        <f aca="false">E28/C28</f>
        <v>-0.159412459154012</v>
      </c>
      <c r="M28" s="6"/>
    </row>
    <row r="29" customFormat="false" ht="15" hidden="false" customHeight="true" outlineLevel="0" collapsed="false">
      <c r="B29" s="113" t="s">
        <v>2488</v>
      </c>
      <c r="C29" s="385" t="n">
        <f aca="false">'Master Cost'!E17</f>
        <v>4022722.921025</v>
      </c>
      <c r="D29" s="385" t="n">
        <f aca="false">'Master Cost'!E17+F24*(1-'Master Cost'!C17/'Master Revenue'!D17)</f>
        <v>3381450.76768919</v>
      </c>
      <c r="E29" s="385" t="n">
        <f aca="false">D29-C29</f>
        <v>-641272.153335806</v>
      </c>
      <c r="F29" s="736" t="n">
        <f aca="false">E29/C29</f>
        <v>-0.159412459154012</v>
      </c>
      <c r="G29" s="0" t="s">
        <v>2571</v>
      </c>
      <c r="M29" s="6"/>
    </row>
    <row r="30" customFormat="false" ht="15" hidden="false" customHeight="true" outlineLevel="0" collapsed="false">
      <c r="B30" s="6" t="s">
        <v>2077</v>
      </c>
      <c r="C30" s="720" t="n">
        <f aca="false">-'Master Cost'!C55</f>
        <v>-1761550.6645</v>
      </c>
      <c r="D30" s="720" t="n">
        <f aca="false">-'Master Cost'!C55</f>
        <v>-1761550.6645</v>
      </c>
      <c r="E30" s="401" t="n">
        <f aca="false">D30-C30</f>
        <v>0</v>
      </c>
      <c r="F30" s="737" t="n">
        <v>0</v>
      </c>
      <c r="M30" s="6"/>
    </row>
    <row r="31" customFormat="false" ht="25.5" hidden="false" customHeight="true" outlineLevel="0" collapsed="false">
      <c r="B31" s="738" t="s">
        <v>2490</v>
      </c>
      <c r="C31" s="611" t="n">
        <f aca="false">C29+C30</f>
        <v>2261172.256525</v>
      </c>
      <c r="D31" s="611" t="n">
        <f aca="false">D29+D30</f>
        <v>1619900.10318919</v>
      </c>
      <c r="E31" s="611" t="n">
        <f aca="false">D31-C31</f>
        <v>-641272.153335806</v>
      </c>
      <c r="F31" s="739" t="n">
        <f aca="false">E31/C31</f>
        <v>-0.28360163693204</v>
      </c>
      <c r="M31" s="6"/>
    </row>
    <row r="32" customFormat="false" ht="15" hidden="false" customHeight="true" outlineLevel="0" collapsed="false">
      <c r="B32" s="113" t="s">
        <v>2491</v>
      </c>
      <c r="C32" s="740" t="n">
        <f aca="false">C31/C28</f>
        <v>0.338903589599894</v>
      </c>
      <c r="D32" s="740" t="n">
        <f aca="false">D31/D28</f>
        <v>0.288833661016281</v>
      </c>
      <c r="E32" s="740" t="n">
        <f aca="false">D32-C32</f>
        <v>-0.0500699285836126</v>
      </c>
      <c r="F32" s="741" t="s">
        <v>672</v>
      </c>
      <c r="M32" s="6"/>
    </row>
    <row r="33" customFormat="false" ht="15" hidden="false" customHeight="true" outlineLevel="0" collapsed="false">
      <c r="B33" s="6"/>
      <c r="M33" s="6"/>
    </row>
    <row r="34" customFormat="false" ht="36" hidden="false" customHeight="true" outlineLevel="0" collapsed="false">
      <c r="B34" s="43" t="s">
        <v>2572</v>
      </c>
      <c r="C34" s="43"/>
      <c r="D34" s="43"/>
      <c r="E34" s="43"/>
      <c r="F34" s="43"/>
      <c r="G34" s="43"/>
      <c r="M34" s="6"/>
    </row>
    <row r="35" customFormat="false" ht="15" hidden="false" customHeight="true" outlineLevel="0" collapsed="false">
      <c r="B35" s="113" t="s">
        <v>2573</v>
      </c>
      <c r="C35" s="395" t="n">
        <f aca="false">-CapEx!D64</f>
        <v>3402000</v>
      </c>
      <c r="D35" s="742" t="s">
        <v>2574</v>
      </c>
      <c r="E35" s="742"/>
      <c r="F35" s="742"/>
      <c r="G35" s="742"/>
      <c r="M35" s="6"/>
    </row>
    <row r="36" customFormat="false" ht="15" hidden="false" customHeight="true" outlineLevel="0" collapsed="false">
      <c r="B36" s="113" t="s">
        <v>2575</v>
      </c>
      <c r="C36" s="743" t="n">
        <v>0.07</v>
      </c>
      <c r="D36" s="742" t="s">
        <v>2576</v>
      </c>
      <c r="E36" s="742"/>
      <c r="F36" s="742"/>
      <c r="G36" s="742"/>
      <c r="M36" s="6"/>
    </row>
    <row r="37" customFormat="false" ht="15" hidden="false" customHeight="true" outlineLevel="0" collapsed="false">
      <c r="B37" s="113" t="s">
        <v>2577</v>
      </c>
      <c r="C37" s="395" t="n">
        <f aca="false">C35*C36</f>
        <v>238140</v>
      </c>
      <c r="D37" s="742" t="s">
        <v>2578</v>
      </c>
      <c r="E37" s="742"/>
      <c r="F37" s="742"/>
      <c r="G37" s="742"/>
      <c r="M37" s="6"/>
    </row>
    <row r="38" customFormat="false" ht="15" hidden="false" customHeight="true" outlineLevel="0" collapsed="false">
      <c r="B38" s="113" t="s">
        <v>2579</v>
      </c>
      <c r="C38" s="744" t="n">
        <v>7</v>
      </c>
      <c r="D38" s="742" t="s">
        <v>2580</v>
      </c>
      <c r="E38" s="742"/>
      <c r="F38" s="742"/>
      <c r="G38" s="742"/>
      <c r="M38" s="6"/>
    </row>
    <row r="39" customFormat="false" ht="15" hidden="false" customHeight="true" outlineLevel="0" collapsed="false">
      <c r="B39" s="113" t="s">
        <v>2581</v>
      </c>
      <c r="C39" s="395" t="n">
        <f aca="false">C35/C38</f>
        <v>486000</v>
      </c>
      <c r="D39" s="742" t="s">
        <v>2582</v>
      </c>
      <c r="E39" s="742"/>
      <c r="F39" s="742"/>
      <c r="G39" s="742"/>
      <c r="M39" s="6"/>
    </row>
    <row r="40" customFormat="false" ht="15" hidden="false" customHeight="true" outlineLevel="0" collapsed="false">
      <c r="B40" s="113" t="s">
        <v>2252</v>
      </c>
      <c r="C40" s="395" t="n">
        <f aca="false">C37+C39</f>
        <v>724140</v>
      </c>
      <c r="D40" s="742" t="s">
        <v>2583</v>
      </c>
      <c r="E40" s="742"/>
      <c r="F40" s="742"/>
      <c r="G40" s="742"/>
      <c r="M40" s="6"/>
    </row>
    <row r="41" customFormat="false" ht="15" hidden="false" customHeight="true" outlineLevel="0" collapsed="false">
      <c r="B41" s="113" t="s">
        <v>2584</v>
      </c>
      <c r="C41" s="395" t="n">
        <f aca="false">D31</f>
        <v>1619900.10318919</v>
      </c>
      <c r="D41" s="565" t="s">
        <v>2585</v>
      </c>
      <c r="M41" s="6"/>
    </row>
    <row r="42" customFormat="false" ht="66" hidden="false" customHeight="true" outlineLevel="0" collapsed="false">
      <c r="B42" s="113" t="s">
        <v>2586</v>
      </c>
      <c r="C42" s="745" t="n">
        <f aca="false">C41/C40</f>
        <v>2.2369985129798</v>
      </c>
      <c r="D42" s="565" t="s">
        <v>2587</v>
      </c>
      <c r="G42" s="0" t="str">
        <f aca="false">IF(C42&lt;1.2,"⚠ BELOW 1.2× — covenant breach risk","✓ Above 1.2×")</f>
        <v>✓ Above 1.2×</v>
      </c>
      <c r="M42" s="6"/>
    </row>
    <row r="43" customFormat="false" ht="15" hidden="false" customHeight="true" outlineLevel="0" collapsed="false">
      <c r="B43" s="746" t="s">
        <v>2588</v>
      </c>
      <c r="C43" s="142" t="n">
        <f aca="false">D73</f>
        <v>1158986.70886213</v>
      </c>
      <c r="M43" s="6"/>
    </row>
    <row r="44" customFormat="false" ht="66" hidden="false" customHeight="true" outlineLevel="0" collapsed="false">
      <c r="B44" s="439" t="s">
        <v>2589</v>
      </c>
      <c r="C44" s="747" t="n">
        <f aca="false">C43/C40</f>
        <v>1.60050088223566</v>
      </c>
      <c r="G44" s="0" t="str">
        <f aca="false">IF(C44&lt;1.2,"⚠ BELOW 1.2× — covenant breach + cash burn","✓ Above 1.2×")</f>
        <v>✓ Above 1.2×</v>
      </c>
      <c r="M44" s="6"/>
    </row>
    <row r="45" customFormat="false" ht="48" hidden="false" customHeight="true" outlineLevel="0" collapsed="false">
      <c r="B45" s="748" t="s">
        <v>2590</v>
      </c>
      <c r="C45" s="749" t="s">
        <v>2591</v>
      </c>
      <c r="D45" s="369" t="s">
        <v>2592</v>
      </c>
      <c r="E45" s="369"/>
      <c r="F45" s="369"/>
      <c r="G45" s="369"/>
      <c r="M45" s="6"/>
    </row>
    <row r="46" customFormat="false" ht="48" hidden="false" customHeight="true" outlineLevel="0" collapsed="false">
      <c r="B46" s="748" t="s">
        <v>2593</v>
      </c>
      <c r="C46" s="749" t="s">
        <v>2594</v>
      </c>
      <c r="D46" s="369" t="s">
        <v>2595</v>
      </c>
      <c r="E46" s="369"/>
      <c r="F46" s="369"/>
      <c r="G46" s="369"/>
      <c r="M46" s="6"/>
    </row>
    <row r="47" customFormat="false" ht="48" hidden="false" customHeight="true" outlineLevel="0" collapsed="false">
      <c r="B47" s="748" t="s">
        <v>2596</v>
      </c>
      <c r="C47" s="749" t="s">
        <v>2597</v>
      </c>
      <c r="D47" s="369" t="s">
        <v>2598</v>
      </c>
      <c r="E47" s="369"/>
      <c r="F47" s="369"/>
      <c r="G47" s="369"/>
      <c r="M47" s="6"/>
    </row>
    <row r="48" customFormat="false" ht="48" hidden="false" customHeight="true" outlineLevel="0" collapsed="false">
      <c r="B48" s="748" t="s">
        <v>2599</v>
      </c>
      <c r="C48" s="749" t="s">
        <v>2600</v>
      </c>
      <c r="D48" s="369" t="s">
        <v>2601</v>
      </c>
      <c r="E48" s="369"/>
      <c r="F48" s="369"/>
      <c r="G48" s="369"/>
      <c r="M48" s="6"/>
    </row>
    <row r="49" customFormat="false" ht="48" hidden="false" customHeight="true" outlineLevel="0" collapsed="false">
      <c r="B49" s="748" t="s">
        <v>2602</v>
      </c>
      <c r="C49" s="749" t="s">
        <v>2603</v>
      </c>
      <c r="D49" s="369" t="s">
        <v>2604</v>
      </c>
      <c r="E49" s="369"/>
      <c r="F49" s="369"/>
      <c r="G49" s="369"/>
      <c r="M49" s="6"/>
    </row>
    <row r="50" customFormat="false" ht="48" hidden="false" customHeight="true" outlineLevel="0" collapsed="false">
      <c r="B50" s="748" t="s">
        <v>2605</v>
      </c>
      <c r="C50" s="749" t="s">
        <v>2606</v>
      </c>
      <c r="D50" s="369" t="s">
        <v>2607</v>
      </c>
      <c r="E50" s="369"/>
      <c r="F50" s="369"/>
      <c r="G50" s="369"/>
      <c r="M50" s="6"/>
    </row>
    <row r="51" customFormat="false" ht="48" hidden="false" customHeight="true" outlineLevel="0" collapsed="false">
      <c r="B51" s="748" t="s">
        <v>2608</v>
      </c>
      <c r="C51" s="749" t="s">
        <v>2609</v>
      </c>
      <c r="D51" s="369" t="s">
        <v>2610</v>
      </c>
      <c r="E51" s="369"/>
      <c r="F51" s="369"/>
      <c r="G51" s="369"/>
      <c r="M51" s="6"/>
    </row>
    <row r="52" customFormat="false" ht="15" hidden="false" customHeight="true" outlineLevel="0" collapsed="false">
      <c r="B52" s="6"/>
      <c r="M52" s="6"/>
    </row>
    <row r="53" customFormat="false" ht="21.75" hidden="false" customHeight="true" outlineLevel="0" collapsed="false">
      <c r="B53" s="43" t="s">
        <v>2611</v>
      </c>
      <c r="C53" s="43"/>
      <c r="D53" s="43"/>
      <c r="E53" s="43"/>
      <c r="F53" s="43"/>
      <c r="G53" s="43"/>
      <c r="M53" s="6"/>
    </row>
    <row r="54" customFormat="false" ht="81" hidden="false" customHeight="true" outlineLevel="0" collapsed="false">
      <c r="B54" s="113" t="s">
        <v>2612</v>
      </c>
      <c r="M54" s="6"/>
    </row>
    <row r="55" customFormat="false" ht="24" hidden="false" customHeight="true" outlineLevel="0" collapsed="false">
      <c r="B55" s="113" t="s">
        <v>2613</v>
      </c>
      <c r="C55" s="142" t="n">
        <f aca="false">D31</f>
        <v>1619900.10318919</v>
      </c>
      <c r="D55" s="0" t="s">
        <v>2614</v>
      </c>
      <c r="E55" s="177" t="n">
        <f aca="false">D32</f>
        <v>0.288833661016281</v>
      </c>
      <c r="F55" s="0" t="s">
        <v>2615</v>
      </c>
      <c r="G55" s="177" t="n">
        <f aca="false">C32</f>
        <v>0.338903589599894</v>
      </c>
      <c r="M55" s="6"/>
    </row>
    <row r="56" customFormat="false" ht="36" hidden="false" customHeight="true" outlineLevel="0" collapsed="false">
      <c r="B56" s="113" t="s">
        <v>2616</v>
      </c>
      <c r="M56" s="6"/>
    </row>
    <row r="57" customFormat="false" ht="51" hidden="false" customHeight="true" outlineLevel="0" collapsed="false">
      <c r="B57" s="113" t="s">
        <v>2617</v>
      </c>
      <c r="M57" s="6"/>
    </row>
    <row r="58" customFormat="false" ht="96" hidden="false" customHeight="true" outlineLevel="0" collapsed="false">
      <c r="B58" s="113" t="s">
        <v>2618</v>
      </c>
      <c r="M58" s="6"/>
    </row>
    <row r="59" customFormat="false" ht="66" hidden="false" customHeight="true" outlineLevel="0" collapsed="false">
      <c r="B59" s="113" t="s">
        <v>2619</v>
      </c>
      <c r="M59" s="6"/>
    </row>
    <row r="60" customFormat="false" ht="81" hidden="false" customHeight="true" outlineLevel="0" collapsed="false">
      <c r="B60" s="113" t="s">
        <v>2620</v>
      </c>
      <c r="M60" s="6"/>
    </row>
    <row r="61" customFormat="false" ht="81" hidden="false" customHeight="true" outlineLevel="0" collapsed="false">
      <c r="B61" s="113" t="s">
        <v>2621</v>
      </c>
      <c r="M61" s="6"/>
    </row>
    <row r="62" customFormat="false" ht="15" hidden="false" customHeight="true" outlineLevel="0" collapsed="false">
      <c r="B62" s="6"/>
      <c r="M62" s="6"/>
    </row>
    <row r="63" customFormat="false" ht="15" hidden="false" customHeight="true" outlineLevel="0" collapsed="false">
      <c r="B63" s="6"/>
      <c r="M63" s="6"/>
    </row>
    <row r="64" customFormat="false" ht="36" hidden="false" customHeight="true" outlineLevel="0" collapsed="false">
      <c r="B64" s="159" t="s">
        <v>2622</v>
      </c>
      <c r="M64" s="6"/>
    </row>
    <row r="65" customFormat="false" ht="51" hidden="false" customHeight="true" outlineLevel="0" collapsed="false">
      <c r="B65" s="6" t="s">
        <v>2623</v>
      </c>
      <c r="M65" s="6"/>
    </row>
    <row r="66" customFormat="false" ht="51" hidden="false" customHeight="true" outlineLevel="0" collapsed="false">
      <c r="B66" s="6" t="s">
        <v>2624</v>
      </c>
      <c r="M66" s="6"/>
    </row>
    <row r="67" customFormat="false" ht="15" hidden="false" customHeight="true" outlineLevel="0" collapsed="false">
      <c r="B67" s="6"/>
      <c r="M67" s="6"/>
    </row>
    <row r="68" customFormat="false" ht="15" hidden="false" customHeight="true" outlineLevel="0" collapsed="false">
      <c r="B68" s="6" t="s">
        <v>206</v>
      </c>
      <c r="C68" s="0" t="s">
        <v>2625</v>
      </c>
      <c r="D68" s="0" t="s">
        <v>2626</v>
      </c>
      <c r="E68" s="0" t="s">
        <v>611</v>
      </c>
      <c r="M68" s="6"/>
    </row>
    <row r="69" customFormat="false" ht="15" hidden="false" customHeight="true" outlineLevel="0" collapsed="false">
      <c r="B69" s="6" t="s">
        <v>2627</v>
      </c>
      <c r="C69" s="142" t="n">
        <f aca="false">'Master Revenue'!D17</f>
        <v>6672022.15</v>
      </c>
      <c r="D69" s="142" t="n">
        <f aca="false">'Master Revenue'!C17</f>
        <v>4777641.1210832</v>
      </c>
      <c r="E69" s="142" t="n">
        <f aca="false">D69-C69</f>
        <v>-1894381.0289168</v>
      </c>
      <c r="M69" s="6"/>
    </row>
    <row r="70" customFormat="false" ht="15" hidden="false" customHeight="true" outlineLevel="0" collapsed="false">
      <c r="B70" s="6" t="s">
        <v>2628</v>
      </c>
      <c r="C70" s="142" t="n">
        <f aca="false">SUMPRODUCT('Master Revenue'!D7:D15,'Master Cost'!D7:D15)</f>
        <v>2649299.228975</v>
      </c>
      <c r="D70" s="142" t="n">
        <f aca="false">SUMPRODUCT('Master Revenue'!C7:C15,'Master Cost'!D7:D15)</f>
        <v>1913935.17858858</v>
      </c>
      <c r="E70" s="142" t="n">
        <f aca="false">D70-C70</f>
        <v>-735364.050386424</v>
      </c>
      <c r="M70" s="6"/>
    </row>
    <row r="71" customFormat="false" ht="15" hidden="false" customHeight="true" outlineLevel="0" collapsed="false">
      <c r="B71" s="6" t="s">
        <v>2629</v>
      </c>
      <c r="C71" s="142" t="n">
        <f aca="false">C69-C70</f>
        <v>4022722.921025</v>
      </c>
      <c r="D71" s="142" t="n">
        <f aca="false">D69-D70</f>
        <v>2863705.94249462</v>
      </c>
      <c r="E71" s="142" t="n">
        <f aca="false">D71-C71</f>
        <v>-1159016.97853038</v>
      </c>
      <c r="M71" s="6"/>
    </row>
    <row r="72" customFormat="false" ht="15" hidden="false" customHeight="true" outlineLevel="0" collapsed="false">
      <c r="B72" s="6" t="s">
        <v>2077</v>
      </c>
      <c r="C72" s="142" t="n">
        <f aca="false">-'Master Cost'!C55</f>
        <v>-1761550.6645</v>
      </c>
      <c r="D72" s="142" t="n">
        <f aca="false">-('Master Cost'!C55-0.03*(C69-D69))</f>
        <v>-1704719.2336325</v>
      </c>
      <c r="E72" s="142"/>
      <c r="M72" s="6"/>
    </row>
    <row r="73" customFormat="false" ht="15" hidden="false" customHeight="true" outlineLevel="0" collapsed="false">
      <c r="B73" s="6" t="s">
        <v>2630</v>
      </c>
      <c r="C73" s="142" t="n">
        <f aca="false">C71+C72</f>
        <v>2261172.256525</v>
      </c>
      <c r="D73" s="142" t="n">
        <f aca="false">D71+D72</f>
        <v>1158986.70886213</v>
      </c>
      <c r="E73" s="142" t="n">
        <f aca="false">D73-C73</f>
        <v>-1102185.54766287</v>
      </c>
      <c r="M73" s="6"/>
    </row>
    <row r="74" customFormat="false" ht="15" hidden="false" customHeight="true" outlineLevel="0" collapsed="false">
      <c r="B74" s="6" t="s">
        <v>2631</v>
      </c>
      <c r="C74" s="177" t="n">
        <f aca="false">C73/C69</f>
        <v>0.338903589599894</v>
      </c>
      <c r="D74" s="177" t="n">
        <f aca="false">D73/D69</f>
        <v>0.242585552051545</v>
      </c>
      <c r="M74" s="6"/>
    </row>
    <row r="75" customFormat="false" ht="15" hidden="false" customHeight="true" outlineLevel="0" collapsed="false">
      <c r="B75" s="6"/>
      <c r="M75" s="6"/>
    </row>
    <row r="76" customFormat="false" ht="36" hidden="false" customHeight="true" outlineLevel="0" collapsed="false">
      <c r="B76" s="159" t="s">
        <v>2632</v>
      </c>
      <c r="M76" s="6"/>
    </row>
    <row r="77" customFormat="false" ht="51" hidden="false" customHeight="true" outlineLevel="0" collapsed="false">
      <c r="B77" s="6" t="s">
        <v>2633</v>
      </c>
      <c r="M77" s="6"/>
    </row>
    <row r="78" customFormat="false" ht="51" hidden="false" customHeight="true" outlineLevel="0" collapsed="false">
      <c r="B78" s="6" t="s">
        <v>2634</v>
      </c>
      <c r="M78" s="6"/>
    </row>
    <row r="79" customFormat="false" ht="51" hidden="false" customHeight="true" outlineLevel="0" collapsed="false">
      <c r="B79" s="6" t="s">
        <v>2635</v>
      </c>
      <c r="M79" s="6"/>
    </row>
    <row r="80" customFormat="false" ht="51" hidden="false" customHeight="true" outlineLevel="0" collapsed="false">
      <c r="B80" s="6" t="s">
        <v>2636</v>
      </c>
      <c r="M80" s="6"/>
    </row>
  </sheetData>
  <mergeCells count="18">
    <mergeCell ref="B2:G2"/>
    <mergeCell ref="B3:G3"/>
    <mergeCell ref="B5:G5"/>
    <mergeCell ref="B34:G34"/>
    <mergeCell ref="D35:G35"/>
    <mergeCell ref="D36:G36"/>
    <mergeCell ref="D37:G37"/>
    <mergeCell ref="D38:G38"/>
    <mergeCell ref="D39:G39"/>
    <mergeCell ref="D40:G40"/>
    <mergeCell ref="D45:G45"/>
    <mergeCell ref="D46:G46"/>
    <mergeCell ref="D47:G47"/>
    <mergeCell ref="D48:G48"/>
    <mergeCell ref="D49:G49"/>
    <mergeCell ref="D50:G50"/>
    <mergeCell ref="D51:G51"/>
    <mergeCell ref="B53:G5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131"/>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1" activeCellId="0" sqref="A1"/>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60.5"/>
    <col collapsed="false" customWidth="true" hidden="false" outlineLevel="0" max="5" min="3" style="0" width="13"/>
    <col collapsed="false" customWidth="true" hidden="false" outlineLevel="0" max="6" min="6" style="0" width="11"/>
    <col collapsed="false" customWidth="true" hidden="false" outlineLevel="0" max="7" min="7" style="0" width="27"/>
  </cols>
  <sheetData>
    <row r="1" customFormat="false" ht="15" hidden="false" customHeight="true" outlineLevel="0" collapsed="false">
      <c r="B1" s="6"/>
      <c r="E1" s="6"/>
    </row>
    <row r="2" customFormat="false" ht="33.75" hidden="false" customHeight="true" outlineLevel="0" collapsed="false">
      <c r="B2" s="155" t="s">
        <v>2637</v>
      </c>
      <c r="E2" s="6"/>
    </row>
    <row r="3" customFormat="false" ht="36" hidden="false" customHeight="true" outlineLevel="0" collapsed="false">
      <c r="B3" s="6" t="s">
        <v>2638</v>
      </c>
      <c r="E3" s="6"/>
    </row>
    <row r="4" customFormat="false" ht="15" hidden="false" customHeight="true" outlineLevel="0" collapsed="false">
      <c r="B4" s="6"/>
      <c r="E4" s="6"/>
    </row>
    <row r="5" customFormat="false" ht="15" hidden="false" customHeight="true" outlineLevel="0" collapsed="false">
      <c r="B5" s="156" t="s">
        <v>2639</v>
      </c>
      <c r="E5" s="6"/>
    </row>
    <row r="6" customFormat="false" ht="36" hidden="false" customHeight="true" outlineLevel="0" collapsed="false">
      <c r="B6" s="6" t="s">
        <v>2640</v>
      </c>
      <c r="E6" s="6"/>
    </row>
    <row r="7" customFormat="false" ht="36" hidden="false" customHeight="true" outlineLevel="0" collapsed="false">
      <c r="B7" s="6" t="s">
        <v>2641</v>
      </c>
      <c r="E7" s="6"/>
    </row>
    <row r="8" customFormat="false" ht="36" hidden="false" customHeight="true" outlineLevel="0" collapsed="false">
      <c r="B8" s="6" t="s">
        <v>2642</v>
      </c>
      <c r="E8" s="6"/>
    </row>
    <row r="9" customFormat="false" ht="36" hidden="false" customHeight="true" outlineLevel="0" collapsed="false">
      <c r="B9" s="6" t="s">
        <v>2643</v>
      </c>
      <c r="E9" s="6"/>
    </row>
    <row r="10" customFormat="false" ht="15" hidden="false" customHeight="true" outlineLevel="0" collapsed="false">
      <c r="B10" s="6"/>
      <c r="E10" s="6"/>
    </row>
    <row r="11" customFormat="false" ht="36" hidden="false" customHeight="true" outlineLevel="0" collapsed="false">
      <c r="B11" s="156" t="s">
        <v>2644</v>
      </c>
      <c r="E11" s="6"/>
    </row>
    <row r="12" customFormat="false" ht="15" hidden="false" customHeight="true" outlineLevel="0" collapsed="false">
      <c r="B12" s="6"/>
      <c r="E12" s="6"/>
    </row>
    <row r="13" customFormat="false" ht="15" hidden="false" customHeight="true" outlineLevel="0" collapsed="false">
      <c r="B13" s="159" t="s">
        <v>2645</v>
      </c>
      <c r="C13" s="193" t="s">
        <v>2646</v>
      </c>
      <c r="D13" s="193" t="s">
        <v>2647</v>
      </c>
      <c r="E13" s="159" t="s">
        <v>2648</v>
      </c>
      <c r="F13" s="193" t="s">
        <v>2296</v>
      </c>
    </row>
    <row r="14" customFormat="false" ht="36" hidden="false" customHeight="true" outlineLevel="0" collapsed="false">
      <c r="B14" s="6" t="s">
        <v>612</v>
      </c>
      <c r="C14" s="0" t="s">
        <v>618</v>
      </c>
      <c r="D14" s="177" t="n">
        <v>0.093</v>
      </c>
      <c r="E14" s="241" t="n">
        <f aca="false">'F&amp;B · Drivers'!C26*'F&amp;B · Drivers'!D32*'F&amp;B · Drivers'!D33</f>
        <v>0</v>
      </c>
      <c r="F14" s="0" t="s">
        <v>2649</v>
      </c>
    </row>
    <row r="15" customFormat="false" ht="15" hidden="false" customHeight="true" outlineLevel="0" collapsed="false">
      <c r="B15" s="6" t="s">
        <v>612</v>
      </c>
      <c r="C15" s="0" t="s">
        <v>614</v>
      </c>
      <c r="D15" s="177" t="n">
        <v>0.05</v>
      </c>
      <c r="E15" s="241" t="n">
        <f aca="false">46800*0.05*100</f>
        <v>234000</v>
      </c>
      <c r="F15" s="0" t="s">
        <v>2650</v>
      </c>
    </row>
    <row r="16" customFormat="false" ht="15" hidden="false" customHeight="true" outlineLevel="0" collapsed="false">
      <c r="B16" s="6" t="s">
        <v>612</v>
      </c>
      <c r="C16" s="0" t="s">
        <v>2525</v>
      </c>
      <c r="D16" s="177" t="n">
        <v>0.04</v>
      </c>
      <c r="E16" s="241" t="n">
        <f aca="false">46800*0.04*8</f>
        <v>14976</v>
      </c>
      <c r="F16" s="0" t="s">
        <v>2651</v>
      </c>
    </row>
    <row r="17" customFormat="false" ht="15" hidden="false" customHeight="true" outlineLevel="0" collapsed="false">
      <c r="B17" s="6" t="s">
        <v>613</v>
      </c>
      <c r="C17" s="0" t="s">
        <v>618</v>
      </c>
      <c r="D17" s="177" t="n">
        <v>0.107</v>
      </c>
      <c r="E17" s="241" t="n">
        <f aca="false">'F&amp;B · Revenue'!E21</f>
        <v>252000</v>
      </c>
      <c r="F17" s="0" t="s">
        <v>2652</v>
      </c>
    </row>
    <row r="18" customFormat="false" ht="15" hidden="false" customHeight="true" outlineLevel="0" collapsed="false">
      <c r="B18" s="6" t="s">
        <v>614</v>
      </c>
      <c r="C18" s="0" t="s">
        <v>618</v>
      </c>
      <c r="D18" s="177" t="n">
        <v>0.033</v>
      </c>
      <c r="E18" s="241" t="n">
        <f aca="false">'F&amp;B · Revenue'!E8</f>
        <v>20638.8</v>
      </c>
      <c r="F18" s="0" t="s">
        <v>2653</v>
      </c>
    </row>
    <row r="19" customFormat="false" ht="15" hidden="false" customHeight="true" outlineLevel="0" collapsed="false">
      <c r="B19" s="6" t="s">
        <v>2525</v>
      </c>
      <c r="C19" s="0" t="s">
        <v>618</v>
      </c>
      <c r="D19" s="177" t="n">
        <v>0.016</v>
      </c>
      <c r="E19" s="241" t="n">
        <f aca="false">'F&amp;B · Revenue'!E9</f>
        <v>9720</v>
      </c>
      <c r="F19" s="0" t="s">
        <v>2654</v>
      </c>
    </row>
    <row r="20" customFormat="false" ht="15" hidden="false" customHeight="true" outlineLevel="0" collapsed="false">
      <c r="B20" s="6" t="s">
        <v>2655</v>
      </c>
      <c r="C20" s="0" t="s">
        <v>619</v>
      </c>
      <c r="D20" s="177" t="n">
        <v>0.85</v>
      </c>
      <c r="E20" s="241" t="n">
        <f aca="false">'Sponsorships · Revenue'!E27*0.85</f>
        <v>243950</v>
      </c>
      <c r="F20" s="0" t="s">
        <v>2656</v>
      </c>
    </row>
    <row r="21" customFormat="false" ht="15" hidden="false" customHeight="true" outlineLevel="0" collapsed="false">
      <c r="B21" s="6"/>
      <c r="E21" s="6"/>
    </row>
    <row r="22" customFormat="false" ht="15" hidden="false" customHeight="true" outlineLevel="0" collapsed="false">
      <c r="B22" s="159" t="s">
        <v>2657</v>
      </c>
      <c r="E22" s="241" t="n">
        <f aca="false">SUM(E14:E20)</f>
        <v>775284.8</v>
      </c>
    </row>
    <row r="23" customFormat="false" ht="15" hidden="false" customHeight="true" outlineLevel="0" collapsed="false">
      <c r="B23" s="6"/>
      <c r="E23" s="6"/>
    </row>
    <row r="24" customFormat="false" ht="15" hidden="false" customHeight="true" outlineLevel="0" collapsed="false">
      <c r="B24" s="6"/>
      <c r="E24" s="6"/>
    </row>
    <row r="25" customFormat="false" ht="33.75" hidden="false" customHeight="true" outlineLevel="0" collapsed="false">
      <c r="B25" s="156" t="s">
        <v>2658</v>
      </c>
      <c r="E25" s="6"/>
    </row>
    <row r="26" customFormat="false" ht="15" hidden="false" customHeight="true" outlineLevel="0" collapsed="false">
      <c r="B26" s="6"/>
      <c r="E26" s="6"/>
    </row>
    <row r="27" customFormat="false" ht="15" hidden="false" customHeight="true" outlineLevel="0" collapsed="false">
      <c r="B27" s="159" t="s">
        <v>2659</v>
      </c>
      <c r="E27" s="6"/>
    </row>
    <row r="28" customFormat="false" ht="15" hidden="false" customHeight="true" outlineLevel="0" collapsed="false">
      <c r="B28" s="6"/>
      <c r="E28" s="6"/>
    </row>
    <row r="29" customFormat="false" ht="15" hidden="false" customHeight="true" outlineLevel="0" collapsed="false">
      <c r="B29" s="159" t="s">
        <v>2660</v>
      </c>
      <c r="C29" s="193" t="s">
        <v>2661</v>
      </c>
      <c r="D29" s="193" t="s">
        <v>2662</v>
      </c>
      <c r="E29" s="159" t="s">
        <v>2663</v>
      </c>
      <c r="F29" s="193" t="s">
        <v>2296</v>
      </c>
    </row>
    <row r="30" customFormat="false" ht="15" hidden="false" customHeight="true" outlineLevel="0" collapsed="false">
      <c r="B30" s="6" t="s">
        <v>2664</v>
      </c>
      <c r="C30" s="0" t="n">
        <f aca="false">-'Master Revenue'!D7*0.2</f>
        <v>-200199.67</v>
      </c>
      <c r="D30" s="0" t="n">
        <v>0</v>
      </c>
      <c r="E30" s="6" t="n">
        <f aca="false">C30+D30</f>
        <v>-200199.67</v>
      </c>
      <c r="F30" s="0" t="s">
        <v>2665</v>
      </c>
    </row>
    <row r="31" customFormat="false" ht="15" hidden="false" customHeight="true" outlineLevel="0" collapsed="false">
      <c r="B31" s="6" t="s">
        <v>2666</v>
      </c>
      <c r="C31" s="0" t="n">
        <v>0</v>
      </c>
      <c r="D31" s="0" t="n">
        <f aca="false">-'F&amp;B · Revenue'!E7*0.2</f>
        <v>-12729.6</v>
      </c>
      <c r="E31" s="6" t="n">
        <f aca="false">C31+D31</f>
        <v>-12729.6</v>
      </c>
      <c r="F31" s="0" t="s">
        <v>2667</v>
      </c>
    </row>
    <row r="32" customFormat="false" ht="15" hidden="false" customHeight="true" outlineLevel="0" collapsed="false">
      <c r="B32" s="6" t="s">
        <v>2668</v>
      </c>
      <c r="C32" s="0" t="n">
        <v>0</v>
      </c>
      <c r="D32" s="0" t="n">
        <f aca="false">-46800*0.05*100*0.2</f>
        <v>-46800</v>
      </c>
      <c r="E32" s="6" t="n">
        <f aca="false">C32+D32</f>
        <v>-46800</v>
      </c>
      <c r="F32" s="0" t="s">
        <v>2669</v>
      </c>
    </row>
    <row r="33" customFormat="false" ht="15" hidden="false" customHeight="true" outlineLevel="0" collapsed="false">
      <c r="B33" s="6" t="s">
        <v>2670</v>
      </c>
      <c r="C33" s="0" t="n">
        <v>0</v>
      </c>
      <c r="D33" s="0" t="n">
        <f aca="false">-46800*0.04*8*0.2</f>
        <v>-2995.2</v>
      </c>
      <c r="E33" s="6" t="n">
        <f aca="false">C33+D33</f>
        <v>-2995.2</v>
      </c>
      <c r="F33" s="0" t="s">
        <v>2671</v>
      </c>
    </row>
    <row r="34" customFormat="false" ht="15" hidden="false" customHeight="true" outlineLevel="0" collapsed="false">
      <c r="B34" s="6" t="s">
        <v>2672</v>
      </c>
      <c r="C34" s="0" t="n">
        <v>0</v>
      </c>
      <c r="D34" s="0" t="n">
        <f aca="false">-'Sponsorships · Revenue'!E27*0.2*0.3</f>
        <v>-17220</v>
      </c>
      <c r="E34" s="6" t="n">
        <f aca="false">C34+D34</f>
        <v>-17220</v>
      </c>
      <c r="F34" s="0" t="s">
        <v>2673</v>
      </c>
    </row>
    <row r="35" customFormat="false" ht="15" hidden="false" customHeight="true" outlineLevel="0" collapsed="false">
      <c r="B35" s="6"/>
      <c r="E35" s="6"/>
    </row>
    <row r="36" customFormat="false" ht="15" hidden="false" customHeight="true" outlineLevel="0" collapsed="false">
      <c r="B36" s="159" t="s">
        <v>2674</v>
      </c>
      <c r="C36" s="142" t="n">
        <f aca="false">SUM(C30:C34)</f>
        <v>-200199.67</v>
      </c>
      <c r="D36" s="142" t="n">
        <f aca="false">SUM(D30:D34)</f>
        <v>-79744.8</v>
      </c>
      <c r="E36" s="750" t="n">
        <f aca="false">SUM(E30:E34)</f>
        <v>-279944.47</v>
      </c>
    </row>
    <row r="37" customFormat="false" ht="33.75" hidden="false" customHeight="true" outlineLevel="0" collapsed="false">
      <c r="B37" s="159" t="s">
        <v>2675</v>
      </c>
      <c r="C37" s="673" t="n">
        <f aca="false">ABS(D36)/ABS(C30)</f>
        <v>0.398326330907538</v>
      </c>
      <c r="E37" s="6"/>
      <c r="F37" s="0" t="s">
        <v>2676</v>
      </c>
    </row>
    <row r="38" customFormat="false" ht="15" hidden="false" customHeight="true" outlineLevel="0" collapsed="false">
      <c r="B38" s="6"/>
      <c r="E38" s="6"/>
    </row>
    <row r="39" customFormat="false" ht="15" hidden="false" customHeight="true" outlineLevel="0" collapsed="false">
      <c r="B39" s="6"/>
      <c r="E39" s="6"/>
    </row>
    <row r="40" customFormat="false" ht="36" hidden="false" customHeight="true" outlineLevel="0" collapsed="false">
      <c r="B40" s="156" t="s">
        <v>2677</v>
      </c>
      <c r="E40" s="6"/>
    </row>
    <row r="41" customFormat="false" ht="15" hidden="false" customHeight="true" outlineLevel="0" collapsed="false">
      <c r="B41" s="6"/>
      <c r="E41" s="6"/>
    </row>
    <row r="42" customFormat="false" ht="15" hidden="false" customHeight="true" outlineLevel="0" collapsed="false">
      <c r="B42" s="159" t="s">
        <v>206</v>
      </c>
      <c r="C42" s="193" t="s">
        <v>2678</v>
      </c>
      <c r="D42" s="193" t="s">
        <v>2679</v>
      </c>
      <c r="E42" s="159" t="s">
        <v>2680</v>
      </c>
      <c r="F42" s="193" t="s">
        <v>2681</v>
      </c>
    </row>
    <row r="43" customFormat="false" ht="15" hidden="false" customHeight="true" outlineLevel="0" collapsed="false">
      <c r="B43" s="6" t="s">
        <v>2627</v>
      </c>
      <c r="C43" s="142" t="n">
        <f aca="false">'Master Revenue'!D17</f>
        <v>6672022.15</v>
      </c>
      <c r="D43" s="142" t="n">
        <f aca="false">'Bear Case'!D28</f>
        <v>5608418.69153846</v>
      </c>
      <c r="E43" s="241" t="n">
        <f aca="false">C43+E36</f>
        <v>6392077.68</v>
      </c>
      <c r="F43" s="142" t="n">
        <f aca="false">E43-D43</f>
        <v>783658.988461538</v>
      </c>
    </row>
    <row r="44" customFormat="false" ht="15" hidden="false" customHeight="true" outlineLevel="0" collapsed="false">
      <c r="B44" s="6" t="s">
        <v>2682</v>
      </c>
      <c r="C44" s="177" t="n">
        <f aca="false">'Master Cost'!C17/'Master Revenue'!D17</f>
        <v>0.397075904338087</v>
      </c>
      <c r="D44" s="177" t="n">
        <f aca="false">C44</f>
        <v>0.397075904338087</v>
      </c>
      <c r="E44" s="276" t="n">
        <f aca="false">C44</f>
        <v>0.397075904338087</v>
      </c>
    </row>
    <row r="45" customFormat="false" ht="15" hidden="false" customHeight="true" outlineLevel="0" collapsed="false">
      <c r="B45" s="6" t="s">
        <v>2488</v>
      </c>
      <c r="C45" s="142" t="n">
        <f aca="false">C43*(1-C44)</f>
        <v>4022722.921025</v>
      </c>
      <c r="D45" s="142" t="n">
        <f aca="false">D43*(1-D44)</f>
        <v>3381450.7676892</v>
      </c>
      <c r="E45" s="241" t="n">
        <f aca="false">E43*(1-E44)</f>
        <v>3853937.6546147</v>
      </c>
      <c r="F45" s="142" t="n">
        <f aca="false">E45-D45</f>
        <v>472486.886925502</v>
      </c>
    </row>
    <row r="46" customFormat="false" ht="15" hidden="false" customHeight="true" outlineLevel="0" collapsed="false">
      <c r="B46" s="6" t="s">
        <v>2077</v>
      </c>
      <c r="C46" s="142" t="n">
        <f aca="false">-'Master Cost'!C55</f>
        <v>-1761550.6645</v>
      </c>
      <c r="D46" s="142" t="n">
        <f aca="false">-('Master Cost'!C55-0.03*(C43-D43))</f>
        <v>-1729642.56074615</v>
      </c>
      <c r="E46" s="241" t="n">
        <f aca="false">-('Master Cost'!C55-0.03*(C43-E43))</f>
        <v>-1753152.3304</v>
      </c>
      <c r="F46" s="142" t="n">
        <f aca="false">E46-D46</f>
        <v>-23509.769653846</v>
      </c>
    </row>
    <row r="47" customFormat="false" ht="15" hidden="false" customHeight="true" outlineLevel="0" collapsed="false">
      <c r="B47" s="159" t="s">
        <v>2683</v>
      </c>
      <c r="C47" s="142" t="n">
        <f aca="false">C45+C46</f>
        <v>2261172.256525</v>
      </c>
      <c r="D47" s="142" t="n">
        <f aca="false">D45+D46</f>
        <v>1651808.20694304</v>
      </c>
      <c r="E47" s="751" t="n">
        <f aca="false">E45+E46</f>
        <v>2100785.3242147</v>
      </c>
      <c r="F47" s="142" t="n">
        <f aca="false">E47-D47</f>
        <v>448977.117271656</v>
      </c>
    </row>
    <row r="48" customFormat="false" ht="15" hidden="false" customHeight="true" outlineLevel="0" collapsed="false">
      <c r="B48" s="6" t="s">
        <v>2491</v>
      </c>
      <c r="C48" s="177" t="n">
        <f aca="false">C47/C43</f>
        <v>0.338903589599894</v>
      </c>
      <c r="D48" s="177" t="n">
        <f aca="false">D47/D43</f>
        <v>0.294522983712888</v>
      </c>
      <c r="E48" s="276" t="n">
        <f aca="false">E47/E43</f>
        <v>0.328654536034158</v>
      </c>
    </row>
    <row r="49" customFormat="false" ht="15" hidden="false" customHeight="true" outlineLevel="0" collapsed="false">
      <c r="B49" s="6"/>
      <c r="E49" s="6"/>
    </row>
    <row r="50" customFormat="false" ht="15" hidden="false" customHeight="true" outlineLevel="0" collapsed="false">
      <c r="B50" s="6"/>
      <c r="E50" s="6"/>
    </row>
    <row r="51" customFormat="false" ht="15" hidden="false" customHeight="true" outlineLevel="0" collapsed="false">
      <c r="B51" s="156" t="s">
        <v>2684</v>
      </c>
      <c r="E51" s="6"/>
    </row>
    <row r="52" customFormat="false" ht="15" hidden="false" customHeight="true" outlineLevel="0" collapsed="false">
      <c r="B52" s="6"/>
      <c r="E52" s="6"/>
    </row>
    <row r="53" customFormat="false" ht="51" hidden="false" customHeight="true" outlineLevel="0" collapsed="false">
      <c r="B53" s="6" t="s">
        <v>2685</v>
      </c>
      <c r="E53" s="6"/>
    </row>
    <row r="54" customFormat="false" ht="51" hidden="false" customHeight="true" outlineLevel="0" collapsed="false">
      <c r="B54" s="6" t="s">
        <v>2686</v>
      </c>
      <c r="E54" s="6"/>
    </row>
    <row r="55" customFormat="false" ht="51" hidden="false" customHeight="true" outlineLevel="0" collapsed="false">
      <c r="B55" s="6" t="s">
        <v>2687</v>
      </c>
      <c r="E55" s="6"/>
    </row>
    <row r="56" customFormat="false" ht="36" hidden="false" customHeight="true" outlineLevel="0" collapsed="false">
      <c r="B56" s="6" t="s">
        <v>2688</v>
      </c>
      <c r="E56" s="6"/>
    </row>
    <row r="57" customFormat="false" ht="15" hidden="false" customHeight="true" outlineLevel="0" collapsed="false">
      <c r="B57" s="6"/>
      <c r="E57" s="6"/>
    </row>
    <row r="58" customFormat="false" ht="51" hidden="false" customHeight="true" outlineLevel="0" collapsed="false">
      <c r="B58" s="6" t="s">
        <v>2689</v>
      </c>
      <c r="E58" s="6"/>
    </row>
    <row r="59" customFormat="false" ht="51" hidden="false" customHeight="true" outlineLevel="0" collapsed="false">
      <c r="B59" s="6" t="s">
        <v>2690</v>
      </c>
      <c r="E59" s="6"/>
    </row>
    <row r="60" customFormat="false" ht="51" hidden="false" customHeight="true" outlineLevel="0" collapsed="false">
      <c r="B60" s="6" t="s">
        <v>2691</v>
      </c>
      <c r="E60" s="6"/>
    </row>
    <row r="61" customFormat="false" ht="36" hidden="false" customHeight="true" outlineLevel="0" collapsed="false">
      <c r="B61" s="6" t="s">
        <v>2692</v>
      </c>
      <c r="E61" s="6"/>
    </row>
    <row r="62" customFormat="false" ht="15" hidden="false" customHeight="true" outlineLevel="0" collapsed="false">
      <c r="B62" s="6"/>
      <c r="E62" s="6"/>
    </row>
    <row r="63" customFormat="false" ht="15" hidden="false" customHeight="true" outlineLevel="0" collapsed="false">
      <c r="B63" s="6"/>
      <c r="E63" s="6"/>
    </row>
    <row r="64" customFormat="false" ht="15" hidden="false" customHeight="true" outlineLevel="0" collapsed="false">
      <c r="B64" s="156" t="s">
        <v>2693</v>
      </c>
      <c r="E64" s="6"/>
    </row>
    <row r="65" customFormat="false" ht="51" hidden="false" customHeight="true" outlineLevel="0" collapsed="false">
      <c r="B65" s="6" t="s">
        <v>2694</v>
      </c>
      <c r="E65" s="6"/>
    </row>
    <row r="66" customFormat="false" ht="36" hidden="false" customHeight="true" outlineLevel="0" collapsed="false">
      <c r="B66" s="159" t="s">
        <v>2695</v>
      </c>
      <c r="E66" s="6"/>
    </row>
    <row r="67" customFormat="false" ht="36" hidden="false" customHeight="true" outlineLevel="0" collapsed="false">
      <c r="B67" s="6" t="s">
        <v>2696</v>
      </c>
      <c r="E67" s="6"/>
    </row>
    <row r="68" customFormat="false" ht="15" hidden="false" customHeight="true" outlineLevel="0" collapsed="false">
      <c r="B68" s="159" t="s">
        <v>2660</v>
      </c>
      <c r="C68" s="193" t="s">
        <v>2661</v>
      </c>
      <c r="D68" s="193" t="s">
        <v>2662</v>
      </c>
      <c r="E68" s="159" t="s">
        <v>2663</v>
      </c>
      <c r="F68" s="193" t="s">
        <v>2296</v>
      </c>
    </row>
    <row r="69" customFormat="false" ht="15" hidden="false" customHeight="true" outlineLevel="0" collapsed="false">
      <c r="B69" s="6" t="s">
        <v>2697</v>
      </c>
      <c r="C69" s="142" t="n">
        <f aca="false">-'Master Revenue'!D8*0.3</f>
        <v>-361863</v>
      </c>
      <c r="D69" s="142" t="n">
        <v>0</v>
      </c>
      <c r="E69" s="241" t="n">
        <f aca="false">C69+D69</f>
        <v>-361863</v>
      </c>
      <c r="F69" s="0" t="s">
        <v>2698</v>
      </c>
    </row>
    <row r="70" customFormat="false" ht="15" hidden="false" customHeight="true" outlineLevel="0" collapsed="false">
      <c r="B70" s="6" t="s">
        <v>2699</v>
      </c>
      <c r="C70" s="142" t="n">
        <v>0</v>
      </c>
      <c r="D70" s="142" t="n">
        <f aca="false">-'F&amp;B · Revenue'!E21*0.3</f>
        <v>-75600</v>
      </c>
      <c r="E70" s="241" t="n">
        <f aca="false">C70+D70</f>
        <v>-75600</v>
      </c>
      <c r="F70" s="0" t="s">
        <v>2700</v>
      </c>
    </row>
    <row r="71" customFormat="false" ht="15" hidden="false" customHeight="true" outlineLevel="0" collapsed="false">
      <c r="B71" s="6" t="s">
        <v>2701</v>
      </c>
      <c r="C71" s="142" t="n">
        <v>0</v>
      </c>
      <c r="D71" s="142" t="n">
        <f aca="false">-'Sponsorships · Revenue'!E18*0.3</f>
        <v>-17400</v>
      </c>
      <c r="E71" s="241" t="n">
        <f aca="false">C71+D71</f>
        <v>-17400</v>
      </c>
      <c r="F71" s="0" t="s">
        <v>2702</v>
      </c>
    </row>
    <row r="72" customFormat="false" ht="15" hidden="false" customHeight="true" outlineLevel="0" collapsed="false">
      <c r="B72" s="6" t="s">
        <v>2703</v>
      </c>
      <c r="C72" s="142" t="n">
        <v>0</v>
      </c>
      <c r="D72" s="142" t="n">
        <f aca="false">-'Subleasing · Revenue'!E8*0.15</f>
        <v>-37500</v>
      </c>
      <c r="E72" s="241" t="n">
        <f aca="false">C72+D72</f>
        <v>-37500</v>
      </c>
      <c r="F72" s="0" t="s">
        <v>2704</v>
      </c>
    </row>
    <row r="73" customFormat="false" ht="15" hidden="false" customHeight="true" outlineLevel="0" collapsed="false">
      <c r="B73" s="6"/>
      <c r="E73" s="6"/>
    </row>
    <row r="74" customFormat="false" ht="15" hidden="false" customHeight="true" outlineLevel="0" collapsed="false">
      <c r="B74" s="159" t="s">
        <v>2705</v>
      </c>
      <c r="C74" s="142" t="n">
        <f aca="false">SUM(C69:C72)</f>
        <v>-361863</v>
      </c>
      <c r="D74" s="142" t="n">
        <f aca="false">SUM(D69:D72)</f>
        <v>-130500</v>
      </c>
      <c r="E74" s="750" t="n">
        <f aca="false">SUM(E69:E72)</f>
        <v>-492363</v>
      </c>
    </row>
    <row r="75" customFormat="false" ht="15" hidden="false" customHeight="true" outlineLevel="0" collapsed="false">
      <c r="B75" s="159" t="s">
        <v>2706</v>
      </c>
      <c r="C75" s="673" t="n">
        <f aca="false">ABS(D74)/ABS(C69)</f>
        <v>0.360633720496431</v>
      </c>
      <c r="E75" s="6"/>
    </row>
    <row r="76" customFormat="false" ht="15" hidden="false" customHeight="true" outlineLevel="0" collapsed="false">
      <c r="B76" s="6"/>
      <c r="E76" s="6"/>
    </row>
    <row r="77" customFormat="false" ht="15" hidden="false" customHeight="true" outlineLevel="0" collapsed="false">
      <c r="B77" s="6"/>
      <c r="E77" s="6"/>
    </row>
    <row r="78" customFormat="false" ht="15" hidden="false" customHeight="true" outlineLevel="0" collapsed="false">
      <c r="B78" s="156" t="s">
        <v>2707</v>
      </c>
      <c r="E78" s="6"/>
    </row>
    <row r="79" customFormat="false" ht="15" hidden="false" customHeight="true" outlineLevel="0" collapsed="false">
      <c r="B79" s="6"/>
      <c r="E79" s="6"/>
    </row>
    <row r="80" customFormat="false" ht="36" hidden="false" customHeight="true" outlineLevel="0" collapsed="false">
      <c r="B80" s="159" t="s">
        <v>2708</v>
      </c>
      <c r="E80" s="6"/>
    </row>
    <row r="81" customFormat="false" ht="15" hidden="false" customHeight="true" outlineLevel="0" collapsed="false">
      <c r="B81" s="6"/>
      <c r="E81" s="6"/>
    </row>
    <row r="82" customFormat="false" ht="15" hidden="false" customHeight="true" outlineLevel="0" collapsed="false">
      <c r="B82" s="159" t="s">
        <v>2660</v>
      </c>
      <c r="C82" s="193" t="s">
        <v>2661</v>
      </c>
      <c r="D82" s="193" t="s">
        <v>2662</v>
      </c>
      <c r="E82" s="159" t="s">
        <v>2663</v>
      </c>
      <c r="F82" s="193" t="s">
        <v>2296</v>
      </c>
    </row>
    <row r="83" customFormat="false" ht="15" hidden="false" customHeight="true" outlineLevel="0" collapsed="false">
      <c r="B83" s="6" t="s">
        <v>2709</v>
      </c>
      <c r="C83" s="142" t="n">
        <f aca="false">-'Master Revenue'!D9*0.25</f>
        <v>-398767.5</v>
      </c>
      <c r="D83" s="142" t="n">
        <v>0</v>
      </c>
      <c r="E83" s="241" t="n">
        <f aca="false">C83+D83</f>
        <v>-398767.5</v>
      </c>
      <c r="F83" s="0" t="s">
        <v>2710</v>
      </c>
    </row>
    <row r="84" customFormat="false" ht="15" hidden="false" customHeight="true" outlineLevel="0" collapsed="false">
      <c r="B84" s="6" t="s">
        <v>2711</v>
      </c>
      <c r="C84" s="142" t="n">
        <v>0</v>
      </c>
      <c r="D84" s="142" t="n">
        <f aca="false">-'F&amp;B · Revenue'!E8*0.25</f>
        <v>-5159.7</v>
      </c>
      <c r="E84" s="241" t="n">
        <f aca="false">C84+D84</f>
        <v>-5159.7</v>
      </c>
      <c r="F84" s="0" t="s">
        <v>2712</v>
      </c>
    </row>
    <row r="85" customFormat="false" ht="15" hidden="false" customHeight="true" outlineLevel="0" collapsed="false">
      <c r="B85" s="6" t="s">
        <v>2713</v>
      </c>
      <c r="C85" s="142" t="n">
        <v>0</v>
      </c>
      <c r="D85" s="142" t="n">
        <f aca="false">-'Esports · Drivers'!C14*'Esports · Drivers'!C15*0.15*12</f>
        <v>-5083.344</v>
      </c>
      <c r="E85" s="241" t="n">
        <f aca="false">C85+D85</f>
        <v>-5083.344</v>
      </c>
      <c r="F85" s="0" t="s">
        <v>2714</v>
      </c>
    </row>
    <row r="86" customFormat="false" ht="15" hidden="false" customHeight="true" outlineLevel="0" collapsed="false">
      <c r="B86" s="6" t="s">
        <v>2715</v>
      </c>
      <c r="C86" s="142" t="n">
        <v>0</v>
      </c>
      <c r="D86" s="142" t="n">
        <f aca="false">-'Sponsorships · Revenue'!E27*0.1</f>
        <v>-28700</v>
      </c>
      <c r="E86" s="241" t="n">
        <f aca="false">C86+D86</f>
        <v>-28700</v>
      </c>
      <c r="F86" s="0" t="s">
        <v>2716</v>
      </c>
    </row>
    <row r="87" customFormat="false" ht="15" hidden="false" customHeight="true" outlineLevel="0" collapsed="false">
      <c r="B87" s="6"/>
      <c r="E87" s="6"/>
    </row>
    <row r="88" customFormat="false" ht="15" hidden="false" customHeight="true" outlineLevel="0" collapsed="false">
      <c r="B88" s="159" t="s">
        <v>2705</v>
      </c>
      <c r="C88" s="142" t="n">
        <f aca="false">SUM(C83:C86)</f>
        <v>-398767.5</v>
      </c>
      <c r="D88" s="142" t="n">
        <f aca="false">SUM(D83:D86)</f>
        <v>-38943.044</v>
      </c>
      <c r="E88" s="750" t="n">
        <f aca="false">SUM(E83:E86)</f>
        <v>-437710.544</v>
      </c>
    </row>
    <row r="89" customFormat="false" ht="15" hidden="false" customHeight="true" outlineLevel="0" collapsed="false">
      <c r="B89" s="6" t="s">
        <v>2717</v>
      </c>
      <c r="C89" s="673" t="n">
        <f aca="false">ABS(D88)/ABS(C83)</f>
        <v>0.0976585203157228</v>
      </c>
      <c r="E89" s="6"/>
    </row>
    <row r="90" customFormat="false" ht="15" hidden="false" customHeight="true" outlineLevel="0" collapsed="false">
      <c r="B90" s="6"/>
      <c r="E90" s="6"/>
    </row>
    <row r="91" customFormat="false" ht="15" hidden="false" customHeight="true" outlineLevel="0" collapsed="false">
      <c r="B91" s="6"/>
      <c r="E91" s="6"/>
    </row>
    <row r="92" customFormat="false" ht="15" hidden="false" customHeight="true" outlineLevel="0" collapsed="false">
      <c r="B92" s="156" t="s">
        <v>2718</v>
      </c>
      <c r="E92" s="6"/>
    </row>
    <row r="93" customFormat="false" ht="15" hidden="false" customHeight="true" outlineLevel="0" collapsed="false">
      <c r="B93" s="6"/>
      <c r="E93" s="6"/>
    </row>
    <row r="94" customFormat="false" ht="36" hidden="false" customHeight="true" outlineLevel="0" collapsed="false">
      <c r="B94" s="159" t="s">
        <v>2719</v>
      </c>
      <c r="E94" s="6"/>
    </row>
    <row r="95" customFormat="false" ht="15" hidden="false" customHeight="true" outlineLevel="0" collapsed="false">
      <c r="B95" s="6"/>
      <c r="E95" s="6"/>
    </row>
    <row r="96" customFormat="false" ht="15" hidden="false" customHeight="true" outlineLevel="0" collapsed="false">
      <c r="B96" s="159" t="s">
        <v>2660</v>
      </c>
      <c r="C96" s="193" t="s">
        <v>2661</v>
      </c>
      <c r="D96" s="193" t="s">
        <v>2662</v>
      </c>
      <c r="E96" s="159" t="s">
        <v>2663</v>
      </c>
      <c r="F96" s="193" t="s">
        <v>2296</v>
      </c>
    </row>
    <row r="97" customFormat="false" ht="15" hidden="false" customHeight="true" outlineLevel="0" collapsed="false">
      <c r="B97" s="6" t="s">
        <v>2720</v>
      </c>
      <c r="C97" s="142" t="n">
        <f aca="false">-'Master Revenue'!D14*0.5</f>
        <v>-143500</v>
      </c>
      <c r="D97" s="142" t="n">
        <v>0</v>
      </c>
      <c r="E97" s="241" t="n">
        <f aca="false">C97+D97</f>
        <v>-143500</v>
      </c>
      <c r="F97" s="0" t="s">
        <v>2721</v>
      </c>
    </row>
    <row r="98" customFormat="false" ht="36" hidden="false" customHeight="true" outlineLevel="0" collapsed="false">
      <c r="B98" s="6" t="s">
        <v>2722</v>
      </c>
      <c r="C98" s="142" t="n">
        <v>0</v>
      </c>
      <c r="D98" s="142" t="n">
        <f aca="false">-('Master Revenue'!D7+'Master Revenue'!D8+'Master Revenue'!D9)*0.02</f>
        <v>-76045.567</v>
      </c>
      <c r="E98" s="241" t="n">
        <f aca="false">C98+D98</f>
        <v>-76045.567</v>
      </c>
      <c r="F98" s="0" t="s">
        <v>2723</v>
      </c>
    </row>
    <row r="99" customFormat="false" ht="15" hidden="false" customHeight="true" outlineLevel="0" collapsed="false">
      <c r="B99" s="6"/>
      <c r="E99" s="6"/>
    </row>
    <row r="100" customFormat="false" ht="15" hidden="false" customHeight="true" outlineLevel="0" collapsed="false">
      <c r="B100" s="159" t="s">
        <v>2705</v>
      </c>
      <c r="C100" s="142" t="n">
        <f aca="false">SUM(C97:C98)</f>
        <v>-143500</v>
      </c>
      <c r="D100" s="142" t="n">
        <f aca="false">SUM(D97:D98)</f>
        <v>-76045.567</v>
      </c>
      <c r="E100" s="751" t="n">
        <f aca="false">SUM(E97:E98)</f>
        <v>-219545.567</v>
      </c>
    </row>
    <row r="101" customFormat="false" ht="15" hidden="false" customHeight="true" outlineLevel="0" collapsed="false">
      <c r="B101" s="6" t="s">
        <v>2717</v>
      </c>
      <c r="C101" s="673" t="n">
        <f aca="false">ABS(D100)/ABS(C97)</f>
        <v>0.529934264808363</v>
      </c>
      <c r="E101" s="6"/>
    </row>
    <row r="102" customFormat="false" ht="36" hidden="false" customHeight="true" outlineLevel="0" collapsed="false">
      <c r="B102" s="6" t="s">
        <v>2724</v>
      </c>
      <c r="E102" s="6"/>
    </row>
    <row r="103" customFormat="false" ht="36" hidden="false" customHeight="true" outlineLevel="0" collapsed="false">
      <c r="B103" s="6" t="s">
        <v>2725</v>
      </c>
      <c r="E103" s="6"/>
    </row>
    <row r="104" customFormat="false" ht="15" hidden="false" customHeight="true" outlineLevel="0" collapsed="false">
      <c r="B104" s="6"/>
      <c r="E104" s="6"/>
    </row>
    <row r="105" customFormat="false" ht="15" hidden="false" customHeight="true" outlineLevel="0" collapsed="false">
      <c r="B105" s="6"/>
      <c r="E105" s="6"/>
    </row>
    <row r="106" customFormat="false" ht="15" hidden="false" customHeight="true" outlineLevel="0" collapsed="false">
      <c r="B106" s="156" t="s">
        <v>2726</v>
      </c>
      <c r="E106" s="6"/>
    </row>
    <row r="107" customFormat="false" ht="15" hidden="false" customHeight="true" outlineLevel="0" collapsed="false">
      <c r="B107" s="6"/>
      <c r="E107" s="6"/>
    </row>
    <row r="108" customFormat="false" ht="36" hidden="false" customHeight="true" outlineLevel="0" collapsed="false">
      <c r="B108" s="159" t="s">
        <v>2727</v>
      </c>
      <c r="E108" s="6"/>
    </row>
    <row r="109" customFormat="false" ht="15" hidden="false" customHeight="true" outlineLevel="0" collapsed="false">
      <c r="B109" s="6"/>
      <c r="E109" s="6"/>
    </row>
    <row r="110" customFormat="false" ht="15" hidden="false" customHeight="true" outlineLevel="0" collapsed="false">
      <c r="B110" s="159" t="s">
        <v>2660</v>
      </c>
      <c r="C110" s="193" t="s">
        <v>2661</v>
      </c>
      <c r="D110" s="193" t="s">
        <v>2662</v>
      </c>
      <c r="E110" s="159" t="s">
        <v>2663</v>
      </c>
      <c r="F110" s="193" t="s">
        <v>2296</v>
      </c>
    </row>
    <row r="111" customFormat="false" ht="15" hidden="false" customHeight="true" outlineLevel="0" collapsed="false">
      <c r="B111" s="6" t="s">
        <v>2728</v>
      </c>
      <c r="C111" s="142" t="n">
        <f aca="false">-'Master Revenue'!D13*0.3</f>
        <v>-236914.29</v>
      </c>
      <c r="D111" s="142" t="n">
        <v>0</v>
      </c>
      <c r="E111" s="241" t="n">
        <f aca="false">C111+D111</f>
        <v>-236914.29</v>
      </c>
      <c r="F111" s="0" t="s">
        <v>2729</v>
      </c>
    </row>
    <row r="112" customFormat="false" ht="15" hidden="false" customHeight="true" outlineLevel="0" collapsed="false">
      <c r="B112" s="6" t="s">
        <v>2730</v>
      </c>
      <c r="C112" s="142" t="n">
        <v>0</v>
      </c>
      <c r="D112" s="142" t="n">
        <f aca="false">-'Master Revenue'!D7*0.03</f>
        <v>-30029.9505</v>
      </c>
      <c r="E112" s="241" t="n">
        <f aca="false">C112+D112</f>
        <v>-30029.9505</v>
      </c>
      <c r="F112" s="0" t="s">
        <v>2731</v>
      </c>
    </row>
    <row r="113" customFormat="false" ht="36" hidden="false" customHeight="true" outlineLevel="0" collapsed="false">
      <c r="B113" s="6" t="s">
        <v>2732</v>
      </c>
      <c r="C113" s="142" t="n">
        <v>0</v>
      </c>
      <c r="D113" s="142" t="n">
        <f aca="false">-'Master Revenue'!D8*0.05</f>
        <v>-60310.5</v>
      </c>
      <c r="E113" s="241" t="n">
        <f aca="false">C113+D113</f>
        <v>-60310.5</v>
      </c>
      <c r="F113" s="0" t="s">
        <v>2733</v>
      </c>
    </row>
    <row r="114" customFormat="false" ht="15" hidden="false" customHeight="true" outlineLevel="0" collapsed="false">
      <c r="B114" s="6"/>
      <c r="E114" s="6"/>
    </row>
    <row r="115" customFormat="false" ht="15" hidden="false" customHeight="true" outlineLevel="0" collapsed="false">
      <c r="B115" s="159" t="s">
        <v>2705</v>
      </c>
      <c r="C115" s="142" t="n">
        <f aca="false">SUM(C111:C113)</f>
        <v>-236914.29</v>
      </c>
      <c r="D115" s="142" t="n">
        <f aca="false">SUM(D111:D113)</f>
        <v>-90340.4505</v>
      </c>
      <c r="E115" s="751" t="n">
        <f aca="false">SUM(E111:E113)</f>
        <v>-327254.7405</v>
      </c>
    </row>
    <row r="116" customFormat="false" ht="15" hidden="false" customHeight="true" outlineLevel="0" collapsed="false">
      <c r="B116" s="6" t="s">
        <v>2717</v>
      </c>
      <c r="C116" s="673" t="n">
        <f aca="false">ABS(D115)/ABS(C111)</f>
        <v>0.381321238579572</v>
      </c>
      <c r="E116" s="6"/>
    </row>
    <row r="117" customFormat="false" ht="51" hidden="false" customHeight="true" outlineLevel="0" collapsed="false">
      <c r="B117" s="6" t="s">
        <v>2734</v>
      </c>
      <c r="E117" s="6"/>
    </row>
    <row r="118" customFormat="false" ht="15" hidden="false" customHeight="true" outlineLevel="0" collapsed="false">
      <c r="B118" s="6"/>
      <c r="E118" s="6"/>
    </row>
    <row r="119" customFormat="false" ht="15" hidden="false" customHeight="true" outlineLevel="0" collapsed="false">
      <c r="B119" s="6"/>
      <c r="E119" s="6"/>
    </row>
    <row r="120" customFormat="false" ht="36" hidden="false" customHeight="true" outlineLevel="0" collapsed="false">
      <c r="B120" s="156" t="s">
        <v>2735</v>
      </c>
      <c r="E120" s="6"/>
    </row>
    <row r="121" customFormat="false" ht="15" hidden="false" customHeight="true" outlineLevel="0" collapsed="false">
      <c r="B121" s="6"/>
      <c r="E121" s="6"/>
    </row>
    <row r="122" customFormat="false" ht="15" hidden="false" customHeight="true" outlineLevel="0" collapsed="false">
      <c r="B122" s="159" t="s">
        <v>2736</v>
      </c>
      <c r="C122" s="193" t="s">
        <v>2737</v>
      </c>
      <c r="D122" s="193" t="s">
        <v>2738</v>
      </c>
      <c r="E122" s="159" t="s">
        <v>2739</v>
      </c>
      <c r="F122" s="193" t="s">
        <v>1306</v>
      </c>
      <c r="G122" s="193" t="s">
        <v>2740</v>
      </c>
    </row>
    <row r="123" customFormat="false" ht="15" hidden="false" customHeight="true" outlineLevel="0" collapsed="false">
      <c r="B123" s="6" t="s">
        <v>2741</v>
      </c>
      <c r="C123" s="142" t="n">
        <f aca="false">C30</f>
        <v>-200199.67</v>
      </c>
      <c r="D123" s="142" t="n">
        <f aca="false">SUM(D31:D34)</f>
        <v>-79744.8</v>
      </c>
      <c r="E123" s="241" t="n">
        <f aca="false">C123+D123</f>
        <v>-279944.47</v>
      </c>
      <c r="F123" s="673" t="n">
        <f aca="false">ABS(D123)/ABS(C123)</f>
        <v>0.398326330907538</v>
      </c>
      <c r="G123" s="0" t="s">
        <v>2742</v>
      </c>
    </row>
    <row r="124" customFormat="false" ht="15" hidden="false" customHeight="true" outlineLevel="0" collapsed="false">
      <c r="B124" s="6" t="s">
        <v>2743</v>
      </c>
      <c r="C124" s="142" t="n">
        <f aca="false">C69</f>
        <v>-361863</v>
      </c>
      <c r="D124" s="142" t="n">
        <f aca="false">SUM(D70:D72)</f>
        <v>-130500</v>
      </c>
      <c r="E124" s="241" t="n">
        <f aca="false">C124+D124</f>
        <v>-492363</v>
      </c>
      <c r="F124" s="673" t="n">
        <f aca="false">ABS(D124)/ABS(C124)</f>
        <v>0.360633720496431</v>
      </c>
      <c r="G124" s="0" t="s">
        <v>2744</v>
      </c>
    </row>
    <row r="125" customFormat="false" ht="15" hidden="false" customHeight="true" outlineLevel="0" collapsed="false">
      <c r="B125" s="6" t="s">
        <v>2745</v>
      </c>
      <c r="C125" s="142" t="n">
        <f aca="false">C83</f>
        <v>-398767.5</v>
      </c>
      <c r="D125" s="142" t="n">
        <f aca="false">SUM(D84:D86)</f>
        <v>-38943.044</v>
      </c>
      <c r="E125" s="241" t="n">
        <f aca="false">C125+D125</f>
        <v>-437710.544</v>
      </c>
      <c r="F125" s="673" t="n">
        <f aca="false">ABS(D125)/ABS(C125)</f>
        <v>0.0976585203157228</v>
      </c>
      <c r="G125" s="0" t="s">
        <v>2746</v>
      </c>
    </row>
    <row r="126" customFormat="false" ht="15" hidden="false" customHeight="true" outlineLevel="0" collapsed="false">
      <c r="B126" s="6" t="s">
        <v>2747</v>
      </c>
      <c r="C126" s="142" t="n">
        <f aca="false">C97</f>
        <v>-143500</v>
      </c>
      <c r="D126" s="142" t="n">
        <f aca="false">D98</f>
        <v>-76045.567</v>
      </c>
      <c r="E126" s="241" t="n">
        <f aca="false">C126+D126</f>
        <v>-219545.567</v>
      </c>
      <c r="F126" s="673" t="n">
        <f aca="false">ABS(D126)/ABS(C126)</f>
        <v>0.529934264808363</v>
      </c>
      <c r="G126" s="0" t="s">
        <v>2748</v>
      </c>
    </row>
    <row r="127" customFormat="false" ht="15" hidden="false" customHeight="true" outlineLevel="0" collapsed="false">
      <c r="B127" s="6" t="s">
        <v>2749</v>
      </c>
      <c r="C127" s="142" t="n">
        <f aca="false">C111</f>
        <v>-236914.29</v>
      </c>
      <c r="D127" s="142" t="n">
        <f aca="false">SUM(D112:D113)</f>
        <v>-90340.4505</v>
      </c>
      <c r="E127" s="241" t="n">
        <f aca="false">C127+D127</f>
        <v>-327254.7405</v>
      </c>
      <c r="F127" s="673" t="n">
        <f aca="false">ABS(D127)/ABS(C127)</f>
        <v>0.381321238579572</v>
      </c>
      <c r="G127" s="0" t="s">
        <v>2750</v>
      </c>
    </row>
    <row r="128" customFormat="false" ht="15" hidden="false" customHeight="true" outlineLevel="0" collapsed="false">
      <c r="B128" s="6"/>
      <c r="E128" s="6"/>
    </row>
    <row r="129" customFormat="false" ht="15" hidden="false" customHeight="true" outlineLevel="0" collapsed="false">
      <c r="B129" s="6"/>
      <c r="E129" s="6"/>
    </row>
    <row r="130" customFormat="false" ht="81" hidden="false" customHeight="true" outlineLevel="0" collapsed="false">
      <c r="B130" s="6" t="s">
        <v>2751</v>
      </c>
      <c r="E130" s="6"/>
    </row>
    <row r="131" customFormat="false" ht="51" hidden="false" customHeight="true" outlineLevel="0" collapsed="false">
      <c r="B131" s="6" t="s">
        <v>2752</v>
      </c>
      <c r="E13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530"/>
    <pageSetUpPr fitToPage="true"/>
  </sheetPr>
  <dimension ref="B1:L5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E38" activeCellId="0" sqref="E38"/>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1"/>
  </cols>
  <sheetData>
    <row r="1" customFormat="false" ht="3.75" hidden="false" customHeight="true" outlineLevel="0" collapsed="false">
      <c r="B1" s="1"/>
      <c r="C1" s="2"/>
      <c r="D1" s="2"/>
      <c r="E1" s="2"/>
      <c r="F1" s="2"/>
      <c r="G1" s="1"/>
      <c r="H1" s="2"/>
      <c r="I1" s="2"/>
      <c r="J1" s="2"/>
      <c r="K1" s="2"/>
    </row>
    <row r="2" customFormat="false" ht="27.75" hidden="false" customHeight="true" outlineLevel="0" collapsed="false">
      <c r="B2" s="15" t="s">
        <v>2753</v>
      </c>
      <c r="C2" s="15"/>
      <c r="D2" s="15"/>
      <c r="E2" s="15"/>
      <c r="F2" s="15"/>
      <c r="G2" s="15"/>
      <c r="H2" s="89" t="s">
        <v>198</v>
      </c>
      <c r="I2" s="89"/>
      <c r="J2" s="89"/>
      <c r="K2" s="89"/>
    </row>
    <row r="3" customFormat="false" ht="18" hidden="false" customHeight="true" outlineLevel="0" collapsed="false">
      <c r="B3" s="529" t="s">
        <v>2754</v>
      </c>
      <c r="C3" s="529"/>
      <c r="D3" s="529"/>
      <c r="E3" s="529"/>
      <c r="F3" s="529"/>
      <c r="G3" s="529"/>
      <c r="H3" s="529"/>
      <c r="I3" s="529"/>
      <c r="J3" s="529"/>
      <c r="K3" s="529"/>
    </row>
    <row r="4" customFormat="false" ht="15" hidden="false" customHeight="true" outlineLevel="0" collapsed="false">
      <c r="B4" s="6"/>
      <c r="G4" s="6"/>
    </row>
    <row r="5" customFormat="false" ht="33.75" hidden="false" customHeight="true" outlineLevel="0" collapsed="false">
      <c r="B5" s="575" t="s">
        <v>2755</v>
      </c>
      <c r="C5" s="575"/>
      <c r="D5" s="575"/>
      <c r="E5" s="575"/>
      <c r="F5" s="575"/>
      <c r="G5" s="575"/>
      <c r="H5" s="575"/>
      <c r="I5" s="575"/>
      <c r="J5" s="575"/>
      <c r="K5" s="575"/>
    </row>
    <row r="6" customFormat="false" ht="15" hidden="false" customHeight="true" outlineLevel="0" collapsed="false">
      <c r="B6" s="6"/>
      <c r="G6" s="6"/>
    </row>
    <row r="7" customFormat="false" ht="15" hidden="false" customHeight="true" outlineLevel="0" collapsed="false">
      <c r="B7" s="6"/>
      <c r="G7" s="6"/>
    </row>
    <row r="8" customFormat="false" ht="15" hidden="false" customHeight="true" outlineLevel="0" collapsed="false">
      <c r="B8" s="6"/>
      <c r="G8" s="6"/>
    </row>
    <row r="9" customFormat="false" ht="15" hidden="false" customHeight="true" outlineLevel="0" collapsed="false">
      <c r="B9" s="6"/>
      <c r="G9" s="6"/>
    </row>
    <row r="10" customFormat="false" ht="15" hidden="false" customHeight="true" outlineLevel="0" collapsed="false">
      <c r="B10" s="6"/>
      <c r="G10" s="6"/>
    </row>
    <row r="11" customFormat="false" ht="15" hidden="false" customHeight="true" outlineLevel="0" collapsed="false">
      <c r="B11" s="6"/>
      <c r="G11" s="6"/>
    </row>
    <row r="12" customFormat="false" ht="15" hidden="false" customHeight="true" outlineLevel="0" collapsed="false">
      <c r="B12" s="6"/>
      <c r="G12" s="6"/>
    </row>
    <row r="13" customFormat="false" ht="15" hidden="false" customHeight="true" outlineLevel="0" collapsed="false">
      <c r="B13" s="6"/>
      <c r="G13" s="6"/>
    </row>
    <row r="14" customFormat="false" ht="15" hidden="false" customHeight="true" outlineLevel="0" collapsed="false">
      <c r="B14" s="6"/>
      <c r="G14" s="6"/>
    </row>
    <row r="15" customFormat="false" ht="15" hidden="false" customHeight="true" outlineLevel="0" collapsed="false">
      <c r="B15" s="6"/>
      <c r="G15" s="6"/>
    </row>
    <row r="16" customFormat="false" ht="15" hidden="false" customHeight="true" outlineLevel="0" collapsed="false">
      <c r="B16" s="6"/>
      <c r="G16" s="6"/>
    </row>
    <row r="17" customFormat="false" ht="15" hidden="false" customHeight="true" outlineLevel="0" collapsed="false">
      <c r="B17" s="6"/>
      <c r="G17" s="6"/>
    </row>
    <row r="18" customFormat="false" ht="15" hidden="false" customHeight="true" outlineLevel="0" collapsed="false">
      <c r="B18" s="6"/>
      <c r="G18" s="6"/>
    </row>
    <row r="19" customFormat="false" ht="15" hidden="false" customHeight="true" outlineLevel="0" collapsed="false">
      <c r="B19" s="6"/>
      <c r="G19" s="6"/>
    </row>
    <row r="20" customFormat="false" ht="15" hidden="false" customHeight="true" outlineLevel="0" collapsed="false">
      <c r="B20" s="6"/>
      <c r="G20" s="6"/>
    </row>
    <row r="21" customFormat="false" ht="15" hidden="false" customHeight="true" outlineLevel="0" collapsed="false">
      <c r="B21" s="6"/>
      <c r="G21" s="6"/>
    </row>
    <row r="22" customFormat="false" ht="15" hidden="false" customHeight="true" outlineLevel="0" collapsed="false">
      <c r="B22" s="6"/>
      <c r="G22" s="6"/>
    </row>
    <row r="23" customFormat="false" ht="15" hidden="false" customHeight="true" outlineLevel="0" collapsed="false">
      <c r="B23" s="6"/>
      <c r="G23" s="6"/>
    </row>
    <row r="24" customFormat="false" ht="15" hidden="false" customHeight="true" outlineLevel="0" collapsed="false">
      <c r="B24" s="6"/>
      <c r="G24" s="6"/>
    </row>
    <row r="25" customFormat="false" ht="15" hidden="false" customHeight="true" outlineLevel="0" collapsed="false">
      <c r="B25" s="6"/>
      <c r="G25" s="6"/>
    </row>
    <row r="26" customFormat="false" ht="15" hidden="false" customHeight="true" outlineLevel="0" collapsed="false">
      <c r="B26" s="6"/>
      <c r="G26" s="6"/>
    </row>
    <row r="27" customFormat="false" ht="15" hidden="false" customHeight="true" outlineLevel="0" collapsed="false">
      <c r="B27" s="6"/>
      <c r="G27" s="6"/>
    </row>
    <row r="28" customFormat="false" ht="15" hidden="false" customHeight="true" outlineLevel="0" collapsed="false">
      <c r="B28" s="6"/>
      <c r="G28" s="6"/>
    </row>
    <row r="29" customFormat="false" ht="15" hidden="false" customHeight="true" outlineLevel="0" collapsed="false">
      <c r="B29" s="6"/>
      <c r="G29" s="6"/>
    </row>
    <row r="30" customFormat="false" ht="15" hidden="false" customHeight="true" outlineLevel="0" collapsed="false">
      <c r="B30" s="6"/>
      <c r="G30" s="6"/>
    </row>
    <row r="31" customFormat="false" ht="15" hidden="false" customHeight="true" outlineLevel="0" collapsed="false">
      <c r="B31" s="6"/>
      <c r="G31" s="6"/>
    </row>
    <row r="32" customFormat="false" ht="15" hidden="false" customHeight="true" outlineLevel="0" collapsed="false">
      <c r="B32" s="6"/>
      <c r="G32" s="6"/>
    </row>
    <row r="33" customFormat="false" ht="15" hidden="false" customHeight="true" outlineLevel="0" collapsed="false">
      <c r="B33" s="6"/>
      <c r="G33" s="6"/>
    </row>
    <row r="34" customFormat="false" ht="15" hidden="false" customHeight="true" outlineLevel="0" collapsed="false">
      <c r="B34" s="6"/>
      <c r="G34" s="6"/>
    </row>
    <row r="35" customFormat="false" ht="15" hidden="false" customHeight="true" outlineLevel="0" collapsed="false">
      <c r="B35" s="6"/>
      <c r="G35" s="6"/>
    </row>
    <row r="36" customFormat="false" ht="15" hidden="false" customHeight="true" outlineLevel="0" collapsed="false">
      <c r="B36" s="6"/>
      <c r="G36" s="6"/>
    </row>
    <row r="37" customFormat="false" ht="15" hidden="false" customHeight="true" outlineLevel="0" collapsed="false">
      <c r="B37" s="6"/>
      <c r="G37" s="6"/>
    </row>
    <row r="38" customFormat="false" ht="15" hidden="false" customHeight="true" outlineLevel="0" collapsed="false">
      <c r="B38" s="6"/>
      <c r="G38" s="6"/>
    </row>
    <row r="39" customFormat="false" ht="15" hidden="false" customHeight="true" outlineLevel="0" collapsed="false">
      <c r="B39" s="6"/>
      <c r="G39" s="6"/>
    </row>
    <row r="40" customFormat="false" ht="15" hidden="false" customHeight="true" outlineLevel="0" collapsed="false">
      <c r="B40" s="6"/>
      <c r="G40" s="6"/>
    </row>
    <row r="41" customFormat="false" ht="15" hidden="false" customHeight="true" outlineLevel="0" collapsed="false">
      <c r="B41" s="6"/>
      <c r="G41" s="6"/>
    </row>
    <row r="42" customFormat="false" ht="15" hidden="false" customHeight="true" outlineLevel="0" collapsed="false">
      <c r="B42" s="6"/>
      <c r="G42" s="6"/>
    </row>
    <row r="43" customFormat="false" ht="15" hidden="false" customHeight="true" outlineLevel="0" collapsed="false">
      <c r="B43" s="6"/>
      <c r="G43" s="6"/>
    </row>
    <row r="44" customFormat="false" ht="15" hidden="false" customHeight="true" outlineLevel="0" collapsed="false">
      <c r="B44" s="6"/>
      <c r="G44" s="6"/>
    </row>
    <row r="45" customFormat="false" ht="33.75" hidden="false" customHeight="true" outlineLevel="0" collapsed="false">
      <c r="B45" s="752" t="s">
        <v>2756</v>
      </c>
      <c r="C45" s="752"/>
      <c r="D45" s="752"/>
      <c r="E45" s="752"/>
      <c r="F45" s="752"/>
      <c r="G45" s="752"/>
      <c r="H45" s="752"/>
      <c r="I45" s="752"/>
      <c r="J45" s="752"/>
      <c r="K45" s="752"/>
    </row>
    <row r="46" customFormat="false" ht="15" hidden="false" customHeight="true" outlineLevel="0" collapsed="false">
      <c r="B46" s="753" t="s">
        <v>136</v>
      </c>
      <c r="C46" s="754" t="s">
        <v>137</v>
      </c>
      <c r="E46" s="754" t="s">
        <v>738</v>
      </c>
      <c r="F46" s="754" t="s">
        <v>207</v>
      </c>
      <c r="G46" s="6"/>
      <c r="H46" s="754" t="s">
        <v>750</v>
      </c>
      <c r="I46" s="754" t="s">
        <v>903</v>
      </c>
      <c r="K46" s="754" t="s">
        <v>136</v>
      </c>
      <c r="L46" s="754" t="s">
        <v>209</v>
      </c>
    </row>
    <row r="47" customFormat="false" ht="15" hidden="false" customHeight="true" outlineLevel="0" collapsed="false">
      <c r="B47" s="755" t="s">
        <v>612</v>
      </c>
      <c r="C47" s="756" t="n">
        <f aca="false">'Master Revenue'!I7</f>
        <v>1000998.35</v>
      </c>
      <c r="E47" s="0" t="s">
        <v>607</v>
      </c>
      <c r="F47" s="142" t="n">
        <f aca="false">'Master Revenue'!C17</f>
        <v>4777641.1210832</v>
      </c>
      <c r="G47" s="6"/>
      <c r="H47" s="0" t="s">
        <v>760</v>
      </c>
      <c r="I47" s="142" t="n">
        <f aca="false">'Consolidated 8Yr P&amp;L'!C16</f>
        <v>5337617.72</v>
      </c>
      <c r="K47" s="0" t="s">
        <v>612</v>
      </c>
      <c r="L47" s="142" t="n">
        <f aca="false">'Master Cost'!E7</f>
        <v>533507.497025</v>
      </c>
    </row>
    <row r="48" customFormat="false" ht="15" hidden="false" customHeight="true" outlineLevel="0" collapsed="false">
      <c r="B48" s="755" t="s">
        <v>613</v>
      </c>
      <c r="C48" s="756" t="n">
        <f aca="false">'Master Revenue'!I8</f>
        <v>1206210</v>
      </c>
      <c r="E48" s="0" t="s">
        <v>608</v>
      </c>
      <c r="F48" s="142" t="n">
        <f aca="false">'Master Revenue'!D17</f>
        <v>6672022.15</v>
      </c>
      <c r="G48" s="6"/>
      <c r="H48" s="0" t="s">
        <v>908</v>
      </c>
      <c r="I48" s="142" t="n">
        <f aca="false">'Consolidated 8Yr P&amp;L'!D16</f>
        <v>6004819.935</v>
      </c>
      <c r="K48" s="0" t="s">
        <v>613</v>
      </c>
      <c r="L48" s="142" t="n">
        <f aca="false">'Master Cost'!E8</f>
        <v>808282</v>
      </c>
    </row>
    <row r="49" customFormat="false" ht="15" hidden="false" customHeight="true" outlineLevel="0" collapsed="false">
      <c r="B49" s="755" t="s">
        <v>614</v>
      </c>
      <c r="C49" s="756" t="n">
        <f aca="false">'Master Revenue'!I9</f>
        <v>1595070</v>
      </c>
      <c r="E49" s="0" t="s">
        <v>609</v>
      </c>
      <c r="F49" s="142" t="n">
        <f aca="false">'Master Revenue'!E17</f>
        <v>9502976.129368</v>
      </c>
      <c r="G49" s="6"/>
      <c r="H49" s="0" t="s">
        <v>765</v>
      </c>
      <c r="I49" s="142" t="n">
        <f aca="false">'Consolidated 8Yr P&amp;L'!E16</f>
        <v>6672022.15</v>
      </c>
      <c r="K49" s="0" t="s">
        <v>614</v>
      </c>
      <c r="L49" s="142" t="n">
        <f aca="false">'Master Cost'!E9</f>
        <v>1082048</v>
      </c>
    </row>
    <row r="50" customFormat="false" ht="15" hidden="false" customHeight="true" outlineLevel="0" collapsed="false">
      <c r="B50" s="755" t="s">
        <v>615</v>
      </c>
      <c r="C50" s="756" t="n">
        <f aca="false">'Master Revenue'!I10</f>
        <v>693656.4</v>
      </c>
      <c r="G50" s="6"/>
      <c r="H50" s="0" t="s">
        <v>770</v>
      </c>
      <c r="I50" s="142" t="n">
        <f aca="false">'Consolidated 8Yr P&amp;L'!F16</f>
        <v>6672022.15</v>
      </c>
      <c r="K50" s="0" t="s">
        <v>615</v>
      </c>
      <c r="L50" s="142" t="n">
        <f aca="false">'Master Cost'!E10</f>
        <v>477658</v>
      </c>
    </row>
    <row r="51" customFormat="false" ht="15" hidden="false" customHeight="true" outlineLevel="0" collapsed="false">
      <c r="B51" s="755" t="s">
        <v>616</v>
      </c>
      <c r="C51" s="756" t="n">
        <f aca="false">'Master Revenue'!I11</f>
        <v>488873.1</v>
      </c>
      <c r="G51" s="6"/>
      <c r="H51" s="0" t="s">
        <v>909</v>
      </c>
      <c r="I51" s="142" t="n">
        <f aca="false">'Consolidated 8Yr P&amp;L'!G16</f>
        <v>7005623.2575</v>
      </c>
      <c r="K51" s="0" t="s">
        <v>616</v>
      </c>
      <c r="L51" s="142" t="n">
        <f aca="false">'Master Cost'!E11</f>
        <v>239836.9</v>
      </c>
    </row>
    <row r="52" customFormat="false" ht="15" hidden="false" customHeight="true" outlineLevel="0" collapsed="false">
      <c r="B52" s="755" t="s">
        <v>617</v>
      </c>
      <c r="C52" s="756" t="n">
        <f aca="false">'Master Revenue'!I12</f>
        <v>321000</v>
      </c>
      <c r="G52" s="6"/>
      <c r="K52" s="0" t="s">
        <v>617</v>
      </c>
      <c r="L52" s="142" t="n">
        <f aca="false">'Master Cost'!E12</f>
        <v>293080</v>
      </c>
    </row>
    <row r="53" customFormat="false" ht="15" hidden="false" customHeight="true" outlineLevel="0" collapsed="false">
      <c r="B53" s="755" t="s">
        <v>618</v>
      </c>
      <c r="C53" s="756" t="n">
        <f aca="false">'Master Revenue'!I13</f>
        <v>789714.3</v>
      </c>
      <c r="G53" s="6"/>
      <c r="K53" s="0" t="s">
        <v>618</v>
      </c>
      <c r="L53" s="142" t="n">
        <f aca="false">'Master Cost'!E13</f>
        <v>210270.524</v>
      </c>
    </row>
    <row r="54" customFormat="false" ht="15" hidden="false" customHeight="true" outlineLevel="0" collapsed="false">
      <c r="B54" s="755" t="s">
        <v>619</v>
      </c>
      <c r="C54" s="756" t="n">
        <f aca="false">'Master Revenue'!I14</f>
        <v>287000</v>
      </c>
      <c r="G54" s="6"/>
      <c r="K54" s="0" t="s">
        <v>619</v>
      </c>
      <c r="L54" s="142" t="n">
        <f aca="false">'Master Cost'!E14</f>
        <v>181040</v>
      </c>
    </row>
    <row r="55" customFormat="false" ht="15" hidden="false" customHeight="true" outlineLevel="0" collapsed="false">
      <c r="B55" s="755" t="s">
        <v>620</v>
      </c>
      <c r="C55" s="756" t="n">
        <f aca="false">'Master Revenue'!I15</f>
        <v>289500</v>
      </c>
      <c r="G55" s="6"/>
      <c r="K55" s="0" t="s">
        <v>620</v>
      </c>
      <c r="L55" s="142" t="n">
        <f aca="false">'Master Cost'!E15</f>
        <v>197000</v>
      </c>
    </row>
  </sheetData>
  <mergeCells count="5">
    <mergeCell ref="B2:G2"/>
    <mergeCell ref="H2:K2"/>
    <mergeCell ref="B3:K3"/>
    <mergeCell ref="B5:K5"/>
    <mergeCell ref="B45:K45"/>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1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8" activeCellId="0" sqref="C28"/>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35.33"/>
    <col collapsed="false" customWidth="true" hidden="false" outlineLevel="0" max="3" min="3" style="0" width="22.83"/>
    <col collapsed="false" customWidth="true" hidden="false" outlineLevel="0" max="4" min="4" style="0" width="45.5"/>
    <col collapsed="false" customWidth="true" hidden="false" outlineLevel="0" max="5" min="5" style="0" width="12"/>
  </cols>
  <sheetData>
    <row r="1" customFormat="false" ht="15" hidden="false" customHeight="true" outlineLevel="0" collapsed="false">
      <c r="B1" s="6"/>
      <c r="D1" s="6"/>
    </row>
    <row r="2" customFormat="false" ht="18.75" hidden="false" customHeight="true" outlineLevel="0" collapsed="false">
      <c r="B2" s="155" t="s">
        <v>295</v>
      </c>
      <c r="D2" s="6"/>
    </row>
    <row r="3" customFormat="false" ht="36" hidden="false" customHeight="true" outlineLevel="0" collapsed="false">
      <c r="B3" s="6" t="s">
        <v>296</v>
      </c>
      <c r="D3" s="6"/>
    </row>
    <row r="4" customFormat="false" ht="15" hidden="false" customHeight="true" outlineLevel="0" collapsed="false">
      <c r="B4" s="6"/>
      <c r="D4" s="6"/>
    </row>
    <row r="5" customFormat="false" ht="36" hidden="false" customHeight="true" outlineLevel="0" collapsed="false">
      <c r="B5" s="156" t="s">
        <v>297</v>
      </c>
      <c r="D5" s="6"/>
    </row>
    <row r="6" customFormat="false" ht="15" hidden="false" customHeight="true" outlineLevel="0" collapsed="false">
      <c r="B6" s="6"/>
      <c r="D6" s="6"/>
    </row>
    <row r="7" customFormat="false" ht="15" hidden="false" customHeight="true" outlineLevel="0" collapsed="false">
      <c r="B7" s="6" t="s">
        <v>298</v>
      </c>
      <c r="C7" s="157" t="str">
        <f aca="false">'Exec Summary'!H7</f>
        <v>BASE</v>
      </c>
      <c r="D7" s="6" t="s">
        <v>299</v>
      </c>
    </row>
    <row r="8" customFormat="false" ht="15" hidden="false" customHeight="true" outlineLevel="0" collapsed="false">
      <c r="B8" s="6" t="s">
        <v>300</v>
      </c>
      <c r="C8" s="158" t="str">
        <f aca="false">C7</f>
        <v>BASE</v>
      </c>
      <c r="D8" s="6" t="s">
        <v>301</v>
      </c>
    </row>
    <row r="9" customFormat="false" ht="15" hidden="false" customHeight="true" outlineLevel="0" collapsed="false">
      <c r="B9" s="6"/>
      <c r="D9" s="6"/>
    </row>
    <row r="10" customFormat="false" ht="15" hidden="false" customHeight="true" outlineLevel="0" collapsed="false">
      <c r="B10" s="156" t="s">
        <v>302</v>
      </c>
      <c r="D10" s="6"/>
    </row>
    <row r="11" customFormat="false" ht="15" hidden="false" customHeight="true" outlineLevel="0" collapsed="false">
      <c r="B11" s="6"/>
      <c r="D11" s="6"/>
    </row>
    <row r="12" customFormat="false" ht="15" hidden="false" customHeight="true" outlineLevel="0" collapsed="false">
      <c r="B12" s="159" t="s">
        <v>303</v>
      </c>
      <c r="D12" s="6"/>
    </row>
    <row r="13" customFormat="false" ht="15" hidden="false" customHeight="true" outlineLevel="0" collapsed="false">
      <c r="B13" s="6" t="s">
        <v>304</v>
      </c>
      <c r="C13" s="160" t="n">
        <v>7820000</v>
      </c>
      <c r="D13" s="6"/>
    </row>
    <row r="14" customFormat="false" ht="15" hidden="false" customHeight="true" outlineLevel="0" collapsed="false">
      <c r="B14" s="6" t="s">
        <v>305</v>
      </c>
      <c r="C14" s="160" t="n">
        <v>17377778</v>
      </c>
      <c r="D14" s="6"/>
    </row>
    <row r="15" customFormat="false" ht="15" hidden="false" customHeight="true" outlineLevel="0" collapsed="false">
      <c r="B15" s="6" t="s">
        <v>306</v>
      </c>
      <c r="C15" s="161" t="n">
        <f aca="false">C13/C14</f>
        <v>0.449999994245524</v>
      </c>
      <c r="D15" s="6"/>
    </row>
    <row r="16" customFormat="false" ht="15" hidden="false" customHeight="true" outlineLevel="0" collapsed="false">
      <c r="B16" s="6" t="s">
        <v>307</v>
      </c>
      <c r="C16" s="161" t="n">
        <f aca="false">1-C15</f>
        <v>0.550000005754476</v>
      </c>
      <c r="D16" s="6"/>
    </row>
    <row r="17" customFormat="false" ht="15" hidden="false" customHeight="true" outlineLevel="0" collapsed="false">
      <c r="B17" s="6"/>
      <c r="D17" s="6"/>
    </row>
    <row r="18" customFormat="false" ht="15" hidden="false" customHeight="true" outlineLevel="0" collapsed="false">
      <c r="B18" s="159" t="s">
        <v>308</v>
      </c>
      <c r="D18" s="6"/>
    </row>
    <row r="19" customFormat="false" ht="15" hidden="false" customHeight="true" outlineLevel="0" collapsed="false">
      <c r="B19" s="6" t="s">
        <v>309</v>
      </c>
      <c r="C19" s="160" t="n">
        <v>20000000</v>
      </c>
      <c r="D19" s="6"/>
    </row>
    <row r="20" customFormat="false" ht="15" hidden="false" customHeight="true" outlineLevel="0" collapsed="false">
      <c r="B20" s="6" t="s">
        <v>310</v>
      </c>
      <c r="C20" s="162" t="n">
        <v>0.33</v>
      </c>
      <c r="D20" s="6"/>
    </row>
    <row r="21" customFormat="false" ht="15" hidden="false" customHeight="true" outlineLevel="0" collapsed="false">
      <c r="B21" s="6" t="s">
        <v>311</v>
      </c>
      <c r="C21" s="161" t="n">
        <f aca="false">C20*C15</f>
        <v>0.148499998101023</v>
      </c>
      <c r="D21" s="6"/>
    </row>
    <row r="22" customFormat="false" ht="15" hidden="false" customHeight="true" outlineLevel="0" collapsed="false">
      <c r="B22" s="6" t="s">
        <v>312</v>
      </c>
      <c r="C22" s="161" t="n">
        <f aca="false">C21*0.5</f>
        <v>0.0742499990505115</v>
      </c>
      <c r="D22" s="6"/>
    </row>
    <row r="23" customFormat="false" ht="15" hidden="false" customHeight="true" outlineLevel="0" collapsed="false">
      <c r="B23" s="6" t="s">
        <v>313</v>
      </c>
      <c r="C23" s="161" t="n">
        <f aca="false">C21*0.5</f>
        <v>0.0742499990505115</v>
      </c>
      <c r="D23" s="6"/>
    </row>
    <row r="24" customFormat="false" ht="15" hidden="false" customHeight="true" outlineLevel="0" collapsed="false">
      <c r="B24" s="6"/>
      <c r="D24" s="6"/>
    </row>
    <row r="25" customFormat="false" ht="15" hidden="false" customHeight="true" outlineLevel="0" collapsed="false">
      <c r="B25" s="163" t="s">
        <v>314</v>
      </c>
      <c r="D25" s="6"/>
    </row>
    <row r="26" customFormat="false" ht="36" hidden="false" customHeight="true" outlineLevel="0" collapsed="false">
      <c r="B26" s="6" t="s">
        <v>315</v>
      </c>
      <c r="C26" s="164" t="n">
        <f aca="false">'Consolidated 8Yr P&amp;L'!E35*C27</f>
        <v>34549629.9942212</v>
      </c>
      <c r="D26" s="165" t="s">
        <v>316</v>
      </c>
    </row>
    <row r="27" customFormat="false" ht="36" hidden="false" customHeight="true" outlineLevel="0" collapsed="false">
      <c r="B27" s="6" t="s">
        <v>317</v>
      </c>
      <c r="C27" s="166" t="n">
        <v>16</v>
      </c>
      <c r="D27" s="165" t="s">
        <v>318</v>
      </c>
    </row>
    <row r="28" customFormat="false" ht="15" hidden="false" customHeight="true" outlineLevel="0" collapsed="false">
      <c r="B28" s="6" t="s">
        <v>319</v>
      </c>
      <c r="C28" s="167" t="n">
        <f aca="false">'Consolidated 8Yr P&amp;L'!E35</f>
        <v>2159351.87463882</v>
      </c>
      <c r="D28" s="6" t="s">
        <v>320</v>
      </c>
    </row>
    <row r="29" customFormat="false" ht="15" hidden="false" customHeight="true" outlineLevel="0" collapsed="false">
      <c r="B29" s="6" t="s">
        <v>321</v>
      </c>
      <c r="C29" s="0" t="s">
        <v>322</v>
      </c>
      <c r="D29" s="6"/>
    </row>
    <row r="30" customFormat="false" ht="15" hidden="false" customHeight="true" outlineLevel="0" collapsed="false">
      <c r="B30" s="6" t="s">
        <v>323</v>
      </c>
      <c r="C30" s="0" t="s">
        <v>324</v>
      </c>
      <c r="D30" s="6"/>
    </row>
    <row r="31" customFormat="false" ht="15" hidden="false" customHeight="true" outlineLevel="0" collapsed="false">
      <c r="B31" s="6"/>
      <c r="D31" s="6"/>
    </row>
    <row r="32" customFormat="false" ht="15" hidden="false" customHeight="true" outlineLevel="0" collapsed="false">
      <c r="B32" s="156" t="s">
        <v>325</v>
      </c>
      <c r="D32" s="6"/>
    </row>
    <row r="33" customFormat="false" ht="15" hidden="false" customHeight="true" outlineLevel="0" collapsed="false">
      <c r="B33" s="6"/>
      <c r="D33" s="6"/>
    </row>
    <row r="34" customFormat="false" ht="15" hidden="false" customHeight="true" outlineLevel="0" collapsed="false">
      <c r="B34" s="159" t="s">
        <v>326</v>
      </c>
      <c r="D34" s="6"/>
    </row>
    <row r="35" customFormat="false" ht="15" hidden="false" customHeight="true" outlineLevel="0" collapsed="false">
      <c r="B35" s="6" t="s">
        <v>327</v>
      </c>
      <c r="C35" s="168" t="n">
        <f aca="false">'Group OpEx'!C40</f>
        <v>0.8</v>
      </c>
      <c r="D35" s="6"/>
    </row>
    <row r="36" customFormat="false" ht="15" hidden="false" customHeight="true" outlineLevel="0" collapsed="false">
      <c r="B36" s="6" t="s">
        <v>328</v>
      </c>
      <c r="C36" s="162" t="n">
        <v>0.03</v>
      </c>
      <c r="D36" s="6"/>
    </row>
    <row r="37" customFormat="false" ht="15" hidden="false" customHeight="true" outlineLevel="0" collapsed="false">
      <c r="B37" s="6" t="s">
        <v>329</v>
      </c>
      <c r="C37" s="169" t="n">
        <f aca="false">'Sponsorships · Drivers'!D9</f>
        <v>0.33</v>
      </c>
      <c r="D37" s="6"/>
    </row>
    <row r="38" customFormat="false" ht="15" hidden="false" customHeight="true" outlineLevel="0" collapsed="false">
      <c r="B38" s="6" t="s">
        <v>330</v>
      </c>
      <c r="C38" s="162" t="n">
        <v>0.125</v>
      </c>
      <c r="D38" s="6"/>
    </row>
    <row r="39" customFormat="false" ht="15" hidden="false" customHeight="true" outlineLevel="0" collapsed="false">
      <c r="B39" s="6"/>
      <c r="D39" s="6"/>
    </row>
    <row r="40" customFormat="false" ht="15" hidden="false" customHeight="true" outlineLevel="0" collapsed="false">
      <c r="B40" s="159" t="s">
        <v>331</v>
      </c>
      <c r="D40" s="6"/>
    </row>
    <row r="41" customFormat="false" ht="15" hidden="false" customHeight="true" outlineLevel="0" collapsed="false">
      <c r="B41" s="6" t="s">
        <v>332</v>
      </c>
      <c r="C41" s="170" t="n">
        <f aca="false">CapEx!E54</f>
        <v>28280000</v>
      </c>
      <c r="D41" s="6"/>
    </row>
    <row r="42" customFormat="false" ht="15" hidden="false" customHeight="true" outlineLevel="0" collapsed="false">
      <c r="B42" s="6" t="s">
        <v>333</v>
      </c>
      <c r="C42" s="171" t="n">
        <f aca="false">CapEx!E55</f>
        <v>19090000</v>
      </c>
      <c r="D42" s="6"/>
    </row>
    <row r="43" customFormat="false" ht="15" hidden="false" customHeight="true" outlineLevel="0" collapsed="false">
      <c r="B43" s="6" t="s">
        <v>334</v>
      </c>
      <c r="C43" s="160" t="n">
        <f aca="false">CapEx!E56</f>
        <v>9190000</v>
      </c>
      <c r="D43" s="6"/>
    </row>
    <row r="44" customFormat="false" ht="15" hidden="false" customHeight="true" outlineLevel="0" collapsed="false">
      <c r="B44" s="6" t="s">
        <v>335</v>
      </c>
      <c r="C44" s="162" t="n">
        <v>0.07</v>
      </c>
      <c r="D44" s="6"/>
    </row>
    <row r="45" customFormat="false" ht="15" hidden="false" customHeight="true" outlineLevel="0" collapsed="false">
      <c r="B45" s="6" t="s">
        <v>336</v>
      </c>
      <c r="C45" s="172" t="n">
        <v>7</v>
      </c>
      <c r="D45" s="6"/>
    </row>
    <row r="46" customFormat="false" ht="15" hidden="false" customHeight="true" outlineLevel="0" collapsed="false">
      <c r="B46" s="6" t="s">
        <v>337</v>
      </c>
      <c r="C46" s="0" t="n">
        <v>0.7</v>
      </c>
      <c r="D46" s="6"/>
    </row>
    <row r="47" customFormat="false" ht="15" hidden="false" customHeight="true" outlineLevel="0" collapsed="false">
      <c r="B47" s="156" t="s">
        <v>338</v>
      </c>
      <c r="D47" s="6"/>
    </row>
    <row r="48" customFormat="false" ht="15" hidden="false" customHeight="true" outlineLevel="0" collapsed="false">
      <c r="B48" s="6"/>
      <c r="D48" s="6"/>
    </row>
    <row r="49" customFormat="false" ht="15" hidden="false" customHeight="true" outlineLevel="0" collapsed="false">
      <c r="B49" s="6" t="s">
        <v>339</v>
      </c>
      <c r="C49" s="173" t="n">
        <v>0.15</v>
      </c>
      <c r="D49" s="6"/>
    </row>
    <row r="50" customFormat="false" ht="15" hidden="false" customHeight="true" outlineLevel="0" collapsed="false">
      <c r="B50" s="6" t="s">
        <v>340</v>
      </c>
      <c r="C50" s="173" t="n">
        <v>0.7</v>
      </c>
      <c r="D50" s="6"/>
    </row>
    <row r="51" customFormat="false" ht="15" hidden="false" customHeight="true" outlineLevel="0" collapsed="false">
      <c r="B51" s="6" t="s">
        <v>341</v>
      </c>
      <c r="C51" s="173" t="n">
        <v>0.15</v>
      </c>
      <c r="D51" s="6"/>
    </row>
    <row r="52" customFormat="false" ht="15" hidden="false" customHeight="true" outlineLevel="0" collapsed="false">
      <c r="B52" s="6" t="s">
        <v>342</v>
      </c>
      <c r="C52" s="174" t="n">
        <f aca="false">C49+C50+C51</f>
        <v>1</v>
      </c>
      <c r="D52" s="6"/>
    </row>
    <row r="53" customFormat="false" ht="15" hidden="false" customHeight="true" outlineLevel="0" collapsed="false">
      <c r="B53" s="6"/>
      <c r="D53" s="6"/>
    </row>
    <row r="54" customFormat="false" ht="15" hidden="false" customHeight="true" outlineLevel="0" collapsed="false">
      <c r="B54" s="156" t="s">
        <v>343</v>
      </c>
      <c r="D54" s="6"/>
    </row>
    <row r="55" customFormat="false" ht="15" hidden="false" customHeight="true" outlineLevel="0" collapsed="false">
      <c r="B55" s="6"/>
      <c r="D55" s="6"/>
    </row>
    <row r="56" customFormat="false" ht="15" hidden="false" customHeight="true" outlineLevel="0" collapsed="false">
      <c r="B56" s="6" t="s">
        <v>344</v>
      </c>
      <c r="C56" s="171" t="n">
        <f aca="false">'Master Revenue'!I17</f>
        <v>6672022.15</v>
      </c>
      <c r="D56" s="6"/>
    </row>
    <row r="57" customFormat="false" ht="15" hidden="false" customHeight="true" outlineLevel="0" collapsed="false">
      <c r="B57" s="6" t="s">
        <v>345</v>
      </c>
      <c r="C57" s="171" t="n">
        <f aca="false">'Master OpEx'!D30</f>
        <v>2261172.256525</v>
      </c>
      <c r="D57" s="6"/>
    </row>
    <row r="58" customFormat="false" ht="15" hidden="false" customHeight="true" outlineLevel="0" collapsed="false">
      <c r="B58" s="6" t="s">
        <v>346</v>
      </c>
      <c r="C58" s="175" t="n">
        <f aca="false">'Master OpEx'!D31</f>
        <v>0.338903589599894</v>
      </c>
      <c r="D58" s="6"/>
    </row>
    <row r="59" customFormat="false" ht="15" hidden="false" customHeight="true" outlineLevel="0" collapsed="false">
      <c r="B59" s="6" t="s">
        <v>347</v>
      </c>
      <c r="C59" s="171" t="n">
        <f aca="false">'Master Cost'!E17</f>
        <v>4022722.921025</v>
      </c>
      <c r="D59" s="6"/>
    </row>
    <row r="60" customFormat="false" ht="15" hidden="false" customHeight="true" outlineLevel="0" collapsed="false">
      <c r="B60" s="6" t="s">
        <v>348</v>
      </c>
      <c r="C60" s="171" t="n">
        <f aca="false">'Master Cost'!C55</f>
        <v>1761550.6645</v>
      </c>
      <c r="D60" s="6"/>
    </row>
    <row r="61" customFormat="false" ht="15" hidden="false" customHeight="true" outlineLevel="0" collapsed="false">
      <c r="B61" s="6"/>
      <c r="D61" s="6"/>
    </row>
    <row r="62" customFormat="false" ht="15" hidden="false" customHeight="true" outlineLevel="0" collapsed="false">
      <c r="B62" s="156" t="s">
        <v>349</v>
      </c>
      <c r="D62" s="6"/>
    </row>
    <row r="63" customFormat="false" ht="15" hidden="false" customHeight="true" outlineLevel="0" collapsed="false">
      <c r="B63" s="6"/>
      <c r="D63" s="6"/>
    </row>
    <row r="64" customFormat="false" ht="36" hidden="false" customHeight="true" outlineLevel="0" collapsed="false">
      <c r="B64" s="6" t="s">
        <v>350</v>
      </c>
      <c r="D64" s="6"/>
    </row>
    <row r="65" customFormat="false" ht="33.75" hidden="false" customHeight="true" outlineLevel="0" collapsed="false">
      <c r="B65" s="6" t="s">
        <v>351</v>
      </c>
      <c r="D65" s="6"/>
    </row>
    <row r="66" customFormat="false" ht="36" hidden="false" customHeight="true" outlineLevel="0" collapsed="false">
      <c r="B66" s="6" t="s">
        <v>352</v>
      </c>
      <c r="D66" s="6"/>
    </row>
    <row r="67" customFormat="false" ht="36" hidden="false" customHeight="true" outlineLevel="0" collapsed="false">
      <c r="B67" s="6" t="s">
        <v>353</v>
      </c>
      <c r="D67" s="6"/>
    </row>
    <row r="68" customFormat="false" ht="36" hidden="false" customHeight="true" outlineLevel="0" collapsed="false">
      <c r="B68" s="6" t="s">
        <v>354</v>
      </c>
      <c r="D68" s="6"/>
    </row>
    <row r="70" customFormat="false" ht="15" hidden="false" customHeight="true" outlineLevel="0" collapsed="false">
      <c r="B70" s="0" t="s">
        <v>355</v>
      </c>
    </row>
    <row r="72" customFormat="false" ht="15" hidden="false" customHeight="true" outlineLevel="0" collapsed="false">
      <c r="B72" s="0" t="s">
        <v>356</v>
      </c>
      <c r="C72" s="0" t="n">
        <v>5</v>
      </c>
    </row>
    <row r="73" customFormat="false" ht="15" hidden="false" customHeight="true" outlineLevel="0" collapsed="false">
      <c r="B73" s="0" t="s">
        <v>357</v>
      </c>
      <c r="C73" s="0" t="n">
        <v>0.15</v>
      </c>
    </row>
    <row r="74" customFormat="false" ht="15" hidden="false" customHeight="true" outlineLevel="0" collapsed="false">
      <c r="B74" s="0" t="s">
        <v>358</v>
      </c>
      <c r="C74" s="0" t="n">
        <v>0</v>
      </c>
    </row>
    <row r="75" customFormat="false" ht="15" hidden="false" customHeight="true" outlineLevel="0" collapsed="false">
      <c r="B75" s="0" t="s">
        <v>359</v>
      </c>
      <c r="C75" s="0" t="n">
        <v>0.2</v>
      </c>
    </row>
    <row r="76" customFormat="false" ht="19.5" hidden="false" customHeight="true" outlineLevel="0" collapsed="false">
      <c r="B76" s="145" t="s">
        <v>360</v>
      </c>
      <c r="C76" s="0" t="n">
        <v>0.15</v>
      </c>
    </row>
    <row r="77" customFormat="false" ht="19.5" hidden="false" customHeight="true" outlineLevel="0" collapsed="false">
      <c r="B77" s="143"/>
    </row>
    <row r="78" customFormat="false" ht="19.5" hidden="false" customHeight="true" outlineLevel="0" collapsed="false">
      <c r="B78" s="176" t="s">
        <v>361</v>
      </c>
    </row>
    <row r="79" customFormat="false" ht="19.5" hidden="false" customHeight="true" outlineLevel="0" collapsed="false">
      <c r="B79" s="143" t="s">
        <v>362</v>
      </c>
    </row>
    <row r="80" customFormat="false" ht="19.5" hidden="false" customHeight="true" outlineLevel="0" collapsed="false">
      <c r="B80" s="143" t="s">
        <v>363</v>
      </c>
    </row>
    <row r="81" customFormat="false" ht="19.5" hidden="false" customHeight="true" outlineLevel="0" collapsed="false">
      <c r="B81" s="143" t="s">
        <v>364</v>
      </c>
    </row>
    <row r="82" customFormat="false" ht="19.5" hidden="false" customHeight="true" outlineLevel="0" collapsed="false">
      <c r="B82" s="143"/>
    </row>
    <row r="83" customFormat="false" ht="19.5" hidden="false" customHeight="true" outlineLevel="0" collapsed="false">
      <c r="B83" s="176" t="s">
        <v>365</v>
      </c>
    </row>
    <row r="84" customFormat="false" ht="19.5" hidden="false" customHeight="true" outlineLevel="0" collapsed="false">
      <c r="B84" s="176" t="s">
        <v>366</v>
      </c>
    </row>
    <row r="85" customFormat="false" ht="19.5" hidden="false" customHeight="true" outlineLevel="0" collapsed="false">
      <c r="B85" s="176" t="s">
        <v>367</v>
      </c>
    </row>
    <row r="90" customFormat="false" ht="68.25" hidden="false" customHeight="true" outlineLevel="0" collapsed="false">
      <c r="B90" s="145" t="s">
        <v>368</v>
      </c>
    </row>
    <row r="92" customFormat="false" ht="18" hidden="false" customHeight="true" outlineLevel="0" collapsed="false">
      <c r="B92" s="176" t="s">
        <v>369</v>
      </c>
    </row>
    <row r="93" customFormat="false" ht="18" hidden="false" customHeight="true" outlineLevel="0" collapsed="false">
      <c r="B93" s="176" t="s">
        <v>370</v>
      </c>
    </row>
    <row r="94" customFormat="false" ht="18" hidden="false" customHeight="true" outlineLevel="0" collapsed="false">
      <c r="B94" s="176" t="s">
        <v>371</v>
      </c>
    </row>
    <row r="95" customFormat="false" ht="18" hidden="false" customHeight="true" outlineLevel="0" collapsed="false">
      <c r="B95" s="176" t="s">
        <v>372</v>
      </c>
    </row>
    <row r="96" customFormat="false" ht="18" hidden="false" customHeight="true" outlineLevel="0" collapsed="false">
      <c r="B96" s="176" t="s">
        <v>373</v>
      </c>
    </row>
    <row r="97" customFormat="false" ht="18" hidden="false" customHeight="true" outlineLevel="0" collapsed="false">
      <c r="B97" s="176"/>
    </row>
    <row r="98" customFormat="false" ht="18" hidden="false" customHeight="true" outlineLevel="0" collapsed="false">
      <c r="B98" s="176" t="s">
        <v>374</v>
      </c>
    </row>
    <row r="99" customFormat="false" ht="18" hidden="false" customHeight="true" outlineLevel="0" collapsed="false">
      <c r="B99" s="176"/>
    </row>
    <row r="100" customFormat="false" ht="18" hidden="false" customHeight="true" outlineLevel="0" collapsed="false">
      <c r="B100" s="176" t="s">
        <v>375</v>
      </c>
    </row>
    <row r="101" customFormat="false" ht="18" hidden="false" customHeight="true" outlineLevel="0" collapsed="false">
      <c r="B101" s="176" t="s">
        <v>376</v>
      </c>
    </row>
    <row r="102" customFormat="false" ht="18" hidden="false" customHeight="true" outlineLevel="0" collapsed="false">
      <c r="B102" s="176" t="s">
        <v>377</v>
      </c>
    </row>
    <row r="103" customFormat="false" ht="18" hidden="false" customHeight="true" outlineLevel="0" collapsed="false">
      <c r="B103" s="176" t="s">
        <v>378</v>
      </c>
    </row>
    <row r="104" customFormat="false" ht="18" hidden="false" customHeight="true" outlineLevel="0" collapsed="false">
      <c r="B104" s="176" t="s">
        <v>379</v>
      </c>
    </row>
    <row r="105" customFormat="false" ht="18" hidden="false" customHeight="true" outlineLevel="0" collapsed="false">
      <c r="B105" s="176" t="s">
        <v>380</v>
      </c>
    </row>
    <row r="106" customFormat="false" ht="18" hidden="false" customHeight="true" outlineLevel="0" collapsed="false">
      <c r="B106" s="176" t="s">
        <v>381</v>
      </c>
    </row>
    <row r="107" customFormat="false" ht="18" hidden="false" customHeight="true" outlineLevel="0" collapsed="false">
      <c r="B107" s="176" t="s">
        <v>382</v>
      </c>
    </row>
    <row r="108" customFormat="false" ht="18" hidden="false" customHeight="true" outlineLevel="0" collapsed="false">
      <c r="B108" s="176" t="s">
        <v>383</v>
      </c>
    </row>
    <row r="110" customFormat="false" ht="15" hidden="false" customHeight="true" outlineLevel="0" collapsed="false">
      <c r="B110" s="0" t="s">
        <v>384</v>
      </c>
      <c r="C110" s="0" t="s">
        <v>385</v>
      </c>
    </row>
    <row r="111" customFormat="false" ht="45.75" hidden="false" customHeight="true" outlineLevel="0" collapsed="false">
      <c r="B111" s="176" t="s">
        <v>386</v>
      </c>
    </row>
    <row r="113" customFormat="false" ht="15" hidden="false" customHeight="true" outlineLevel="0" collapsed="false">
      <c r="B113" s="0" t="s">
        <v>387</v>
      </c>
      <c r="C113" s="177" t="n">
        <v>0.7</v>
      </c>
    </row>
    <row r="114" customFormat="false" ht="15" hidden="false" customHeight="true" outlineLevel="0" collapsed="false">
      <c r="B114" s="0" t="s">
        <v>388</v>
      </c>
      <c r="C114" s="177" t="n">
        <v>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04848"/>
    <pageSetUpPr fitToPage="false"/>
  </sheetPr>
  <dimension ref="B1:M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9" min="3" style="0" width="9"/>
    <col collapsed="false" customWidth="true" hidden="false" outlineLevel="0" max="10" min="10" style="0" width="11"/>
    <col collapsed="false" customWidth="true" hidden="false" outlineLevel="0" max="11" min="11" style="0" width="18"/>
    <col collapsed="false" customWidth="true" hidden="false" outlineLevel="0" max="12" min="12" style="0" width="17"/>
    <col collapsed="false" customWidth="true" hidden="false" outlineLevel="0" max="13" min="13" style="0" width="9"/>
  </cols>
  <sheetData>
    <row r="1" customFormat="false" ht="3.75" hidden="false" customHeight="true" outlineLevel="0" collapsed="false">
      <c r="B1" s="1"/>
      <c r="C1" s="2"/>
      <c r="D1" s="2"/>
      <c r="E1" s="2"/>
      <c r="F1" s="2"/>
      <c r="G1" s="2"/>
      <c r="H1" s="2"/>
      <c r="I1" s="2"/>
      <c r="J1" s="1"/>
      <c r="K1" s="2"/>
      <c r="L1" s="2"/>
      <c r="M1" s="2"/>
    </row>
    <row r="2" customFormat="false" ht="30" hidden="false" customHeight="true" outlineLevel="0" collapsed="false">
      <c r="B2" s="298" t="s">
        <v>2757</v>
      </c>
      <c r="C2" s="298"/>
      <c r="D2" s="298"/>
      <c r="E2" s="298"/>
      <c r="F2" s="298"/>
      <c r="G2" s="298"/>
      <c r="H2" s="298"/>
      <c r="I2" s="298"/>
      <c r="J2" s="298"/>
      <c r="K2" s="299" t="s">
        <v>995</v>
      </c>
      <c r="L2" s="299"/>
      <c r="M2" s="299"/>
    </row>
    <row r="3" customFormat="false" ht="33.75" hidden="false" customHeight="true" outlineLevel="0" collapsed="false">
      <c r="B3" s="757" t="s">
        <v>2758</v>
      </c>
      <c r="C3" s="757"/>
      <c r="D3" s="757"/>
      <c r="E3" s="757"/>
      <c r="F3" s="757"/>
      <c r="G3" s="757"/>
      <c r="H3" s="757"/>
      <c r="I3" s="757"/>
      <c r="J3" s="757"/>
      <c r="K3" s="757"/>
      <c r="L3" s="757"/>
      <c r="M3" s="757"/>
    </row>
    <row r="4" customFormat="false" ht="15" hidden="false" customHeight="true" outlineLevel="0" collapsed="false">
      <c r="B4" s="6"/>
      <c r="J4" s="6"/>
    </row>
    <row r="5" customFormat="false" ht="24" hidden="false" customHeight="true" outlineLevel="0" collapsed="false">
      <c r="B5" s="3" t="s">
        <v>2759</v>
      </c>
      <c r="C5" s="3"/>
      <c r="D5" s="3"/>
      <c r="E5" s="3"/>
      <c r="F5" s="3"/>
      <c r="G5" s="3"/>
      <c r="H5" s="3"/>
      <c r="I5" s="3"/>
      <c r="J5" s="3"/>
      <c r="K5" s="3"/>
      <c r="L5" s="3"/>
      <c r="M5" s="3"/>
    </row>
    <row r="6" customFormat="false" ht="24" hidden="false" customHeight="true" outlineLevel="0" collapsed="false">
      <c r="B6" s="758" t="s">
        <v>136</v>
      </c>
      <c r="C6" s="758"/>
      <c r="D6" s="759" t="s">
        <v>2760</v>
      </c>
      <c r="E6" s="759"/>
      <c r="F6" s="759" t="s">
        <v>2761</v>
      </c>
      <c r="G6" s="759"/>
      <c r="H6" s="759" t="s">
        <v>2762</v>
      </c>
      <c r="I6" s="759"/>
      <c r="J6" s="758" t="s">
        <v>139</v>
      </c>
      <c r="K6" s="758"/>
      <c r="L6" s="759" t="s">
        <v>2763</v>
      </c>
      <c r="M6" s="759"/>
    </row>
    <row r="7" customFormat="false" ht="25.5" hidden="false" customHeight="true" outlineLevel="0" collapsed="false">
      <c r="B7" s="304" t="s">
        <v>147</v>
      </c>
      <c r="C7" s="304"/>
      <c r="D7" s="760" t="n">
        <f aca="false">'Gaming · Costs'!C29</f>
        <v>467490.852975</v>
      </c>
      <c r="E7" s="760"/>
      <c r="F7" s="761" t="n">
        <f aca="false">'Gaming · Costs'!C29*0.65</f>
        <v>303869.05443375</v>
      </c>
      <c r="G7" s="761"/>
      <c r="H7" s="761" t="n">
        <f aca="false">'Gaming · Costs'!C29*0.35</f>
        <v>163621.79854125</v>
      </c>
      <c r="I7" s="761"/>
      <c r="J7" s="379" t="n">
        <f aca="false">'Master Cost'!J7</f>
        <v>0.532975401033378</v>
      </c>
      <c r="K7" s="379"/>
      <c r="L7" s="510" t="s">
        <v>2764</v>
      </c>
      <c r="M7" s="510"/>
    </row>
    <row r="8" customFormat="false" ht="25.5" hidden="false" customHeight="true" outlineLevel="0" collapsed="false">
      <c r="B8" s="304" t="s">
        <v>141</v>
      </c>
      <c r="C8" s="304"/>
      <c r="D8" s="760" t="n">
        <f aca="false">'Events · Costs'!C20</f>
        <v>397928</v>
      </c>
      <c r="E8" s="760"/>
      <c r="F8" s="761" t="n">
        <f aca="false">'Events · Costs'!C20*'Events · Assumptions'!$C$53</f>
        <v>198964</v>
      </c>
      <c r="G8" s="761"/>
      <c r="H8" s="761" t="n">
        <f aca="false">'Events · Costs'!C20*'Events · Assumptions'!$C$54</f>
        <v>198964</v>
      </c>
      <c r="I8" s="761"/>
      <c r="J8" s="379" t="n">
        <f aca="false">'Master Cost'!J8</f>
        <v>0.670100562920221</v>
      </c>
      <c r="K8" s="379"/>
      <c r="L8" s="762" t="s">
        <v>1604</v>
      </c>
      <c r="M8" s="762"/>
    </row>
    <row r="9" customFormat="false" ht="25.5" hidden="false" customHeight="true" outlineLevel="0" collapsed="false">
      <c r="B9" s="304" t="s">
        <v>145</v>
      </c>
      <c r="C9" s="304"/>
      <c r="D9" s="760" t="n">
        <f aca="false">'Academy · Costs'!C24</f>
        <v>513022</v>
      </c>
      <c r="E9" s="760"/>
      <c r="F9" s="761" t="n">
        <f aca="false">'Academy · Costs'!C24*'Academy · Assumptions'!$C$63</f>
        <v>359115.4</v>
      </c>
      <c r="G9" s="761"/>
      <c r="H9" s="761" t="n">
        <f aca="false">'Academy · Costs'!C24*'Academy · Assumptions'!$C$64</f>
        <v>153906.6</v>
      </c>
      <c r="I9" s="761"/>
      <c r="J9" s="379" t="n">
        <f aca="false">'Master Cost'!J9</f>
        <v>0.678370228265844</v>
      </c>
      <c r="K9" s="379"/>
      <c r="L9" s="510" t="s">
        <v>1600</v>
      </c>
      <c r="M9" s="510"/>
    </row>
    <row r="10" customFormat="false" ht="25.5" hidden="false" customHeight="true" outlineLevel="0" collapsed="false">
      <c r="B10" s="304" t="s">
        <v>149</v>
      </c>
      <c r="C10" s="304"/>
      <c r="D10" s="760" t="n">
        <f aca="false">'Esports · Costs'!C23</f>
        <v>215998.4</v>
      </c>
      <c r="E10" s="760"/>
      <c r="F10" s="761" t="n">
        <f aca="false">'Esports · Costs'!C23*'Esports · Assumptions'!$C$57</f>
        <v>129599.04</v>
      </c>
      <c r="G10" s="761"/>
      <c r="H10" s="761" t="n">
        <f aca="false">'Esports · Costs'!C23*'Esports · Assumptions'!$C$58</f>
        <v>86399.36</v>
      </c>
      <c r="I10" s="761"/>
      <c r="J10" s="379" t="n">
        <f aca="false">'Master Cost'!J10</f>
        <v>0.688608942410104</v>
      </c>
      <c r="K10" s="379"/>
      <c r="L10" s="762" t="s">
        <v>1604</v>
      </c>
      <c r="M10" s="762"/>
    </row>
    <row r="11" customFormat="false" ht="25.5" hidden="false" customHeight="true" outlineLevel="0" collapsed="false">
      <c r="B11" s="304" t="s">
        <v>151</v>
      </c>
      <c r="C11" s="304"/>
      <c r="D11" s="760" t="n">
        <f aca="false">'Museum · Costs'!C24</f>
        <v>249036.2</v>
      </c>
      <c r="E11" s="760"/>
      <c r="F11" s="761" t="n">
        <f aca="false">'Museum · Costs'!C24*0.78</f>
        <v>194248.236</v>
      </c>
      <c r="G11" s="761"/>
      <c r="H11" s="761" t="n">
        <f aca="false">'Museum · Costs'!C24*0.22</f>
        <v>54787.964</v>
      </c>
      <c r="I11" s="761"/>
      <c r="J11" s="379" t="n">
        <f aca="false">'Master Cost'!J11</f>
        <v>0.49059132114244</v>
      </c>
      <c r="K11" s="379"/>
      <c r="L11" s="510" t="s">
        <v>1600</v>
      </c>
      <c r="M11" s="510"/>
    </row>
    <row r="12" customFormat="false" ht="25.5" hidden="false" customHeight="true" outlineLevel="0" collapsed="false">
      <c r="B12" s="304" t="s">
        <v>157</v>
      </c>
      <c r="C12" s="304"/>
      <c r="D12" s="760" t="n">
        <f aca="false">'Subleasing · Costs'!C16</f>
        <v>27920</v>
      </c>
      <c r="E12" s="760"/>
      <c r="F12" s="761" t="n">
        <f aca="false">'Subleasing · Costs'!C16*0.95</f>
        <v>26524</v>
      </c>
      <c r="G12" s="761"/>
      <c r="H12" s="761" t="n">
        <f aca="false">'Subleasing · Costs'!C16*0.05</f>
        <v>1396</v>
      </c>
      <c r="I12" s="761"/>
      <c r="J12" s="379" t="n">
        <f aca="false">'Master Cost'!J12</f>
        <v>0.913021806853583</v>
      </c>
      <c r="K12" s="379"/>
      <c r="L12" s="505" t="s">
        <v>1596</v>
      </c>
      <c r="M12" s="505"/>
    </row>
    <row r="13" customFormat="false" ht="25.5" hidden="false" customHeight="true" outlineLevel="0" collapsed="false">
      <c r="B13" s="304" t="s">
        <v>143</v>
      </c>
      <c r="C13" s="304"/>
      <c r="D13" s="760" t="n">
        <f aca="false">'F&amp;B · Costs'!C30</f>
        <v>579443.776</v>
      </c>
      <c r="E13" s="760"/>
      <c r="F13" s="761" t="n">
        <f aca="false">'F&amp;B · Costs'!C30*'F&amp;B · Assumptions'!$C$15</f>
        <v>231777.5104</v>
      </c>
      <c r="G13" s="761"/>
      <c r="H13" s="761" t="n">
        <f aca="false">'F&amp;B · Costs'!C30*'F&amp;B · Assumptions'!$C$16</f>
        <v>347666.2656</v>
      </c>
      <c r="I13" s="761"/>
      <c r="J13" s="379" t="n">
        <f aca="false">'Master Cost'!J13</f>
        <v>0.266261512549538</v>
      </c>
      <c r="K13" s="379"/>
      <c r="L13" s="762" t="s">
        <v>2765</v>
      </c>
      <c r="M13" s="762"/>
    </row>
    <row r="14" customFormat="false" ht="25.5" hidden="false" customHeight="true" outlineLevel="0" collapsed="false">
      <c r="B14" s="304" t="s">
        <v>153</v>
      </c>
      <c r="C14" s="304"/>
      <c r="D14" s="760" t="n">
        <f aca="false">'Sponsorships · Costs'!C16</f>
        <v>105960</v>
      </c>
      <c r="E14" s="760"/>
      <c r="F14" s="761" t="n">
        <f aca="false">'Sponsorships · Costs'!C16*0.85</f>
        <v>90066</v>
      </c>
      <c r="G14" s="761"/>
      <c r="H14" s="761" t="n">
        <f aca="false">'Sponsorships · Costs'!C16*0.15</f>
        <v>15894</v>
      </c>
      <c r="I14" s="761"/>
      <c r="J14" s="379" t="n">
        <f aca="false">'Master Cost'!J14</f>
        <v>0.630801393728223</v>
      </c>
      <c r="K14" s="379"/>
      <c r="L14" s="510" t="s">
        <v>1600</v>
      </c>
      <c r="M14" s="510"/>
    </row>
    <row r="15" customFormat="false" ht="25.5" hidden="false" customHeight="true" outlineLevel="0" collapsed="false">
      <c r="B15" s="304" t="s">
        <v>155</v>
      </c>
      <c r="C15" s="304"/>
      <c r="D15" s="760" t="n">
        <f aca="false">'Borderless · Costs'!C17</f>
        <v>92500</v>
      </c>
      <c r="E15" s="760"/>
      <c r="F15" s="761" t="n">
        <f aca="false">'Borderless · Costs'!C17*0.55</f>
        <v>50875</v>
      </c>
      <c r="G15" s="761"/>
      <c r="H15" s="761" t="n">
        <f aca="false">'Borderless · Costs'!C17*0.45</f>
        <v>41625</v>
      </c>
      <c r="I15" s="761"/>
      <c r="J15" s="379" t="n">
        <f aca="false">'Master Cost'!J15</f>
        <v>0.680483592400691</v>
      </c>
      <c r="K15" s="379"/>
      <c r="L15" s="762" t="s">
        <v>1604</v>
      </c>
      <c r="M15" s="762"/>
    </row>
    <row r="16" customFormat="false" ht="15" hidden="false" customHeight="true" outlineLevel="0" collapsed="false">
      <c r="B16" s="6"/>
      <c r="J16" s="6"/>
    </row>
    <row r="17" customFormat="false" ht="15" hidden="false" customHeight="true" outlineLevel="0" collapsed="false">
      <c r="B17" s="6"/>
      <c r="J17" s="6"/>
    </row>
    <row r="18" customFormat="false" ht="24" hidden="false" customHeight="true" outlineLevel="0" collapsed="false">
      <c r="B18" s="3" t="s">
        <v>2766</v>
      </c>
      <c r="C18" s="3"/>
      <c r="D18" s="3"/>
      <c r="E18" s="3"/>
      <c r="F18" s="3"/>
      <c r="G18" s="3"/>
      <c r="H18" s="3"/>
      <c r="I18" s="3"/>
      <c r="J18" s="3"/>
      <c r="K18" s="3"/>
      <c r="L18" s="3"/>
      <c r="M18" s="3"/>
    </row>
    <row r="19" customFormat="false" ht="120" hidden="false" customHeight="true" outlineLevel="0" collapsed="false">
      <c r="B19" s="45" t="s">
        <v>2767</v>
      </c>
      <c r="C19" s="45"/>
      <c r="D19" s="45"/>
      <c r="E19" s="45"/>
      <c r="F19" s="45"/>
      <c r="G19" s="45"/>
      <c r="H19" s="45"/>
      <c r="I19" s="45"/>
      <c r="J19" s="45"/>
      <c r="K19" s="45"/>
      <c r="L19" s="45"/>
      <c r="M19" s="45"/>
    </row>
  </sheetData>
  <mergeCells count="66">
    <mergeCell ref="B2:J2"/>
    <mergeCell ref="K2:M2"/>
    <mergeCell ref="B3:M3"/>
    <mergeCell ref="B5:M5"/>
    <mergeCell ref="B6:C6"/>
    <mergeCell ref="D6:E6"/>
    <mergeCell ref="F6:G6"/>
    <mergeCell ref="H6:I6"/>
    <mergeCell ref="J6:K6"/>
    <mergeCell ref="L6:M6"/>
    <mergeCell ref="B7:C7"/>
    <mergeCell ref="D7:E7"/>
    <mergeCell ref="F7:G7"/>
    <mergeCell ref="H7:I7"/>
    <mergeCell ref="J7:K7"/>
    <mergeCell ref="L7:M7"/>
    <mergeCell ref="B8:C8"/>
    <mergeCell ref="D8:E8"/>
    <mergeCell ref="F8:G8"/>
    <mergeCell ref="H8:I8"/>
    <mergeCell ref="J8:K8"/>
    <mergeCell ref="L8:M8"/>
    <mergeCell ref="B9:C9"/>
    <mergeCell ref="D9:E9"/>
    <mergeCell ref="F9:G9"/>
    <mergeCell ref="H9:I9"/>
    <mergeCell ref="J9:K9"/>
    <mergeCell ref="L9:M9"/>
    <mergeCell ref="B10:C10"/>
    <mergeCell ref="D10:E10"/>
    <mergeCell ref="F10:G10"/>
    <mergeCell ref="H10:I10"/>
    <mergeCell ref="J10:K10"/>
    <mergeCell ref="L10:M10"/>
    <mergeCell ref="B11:C11"/>
    <mergeCell ref="D11:E11"/>
    <mergeCell ref="F11:G11"/>
    <mergeCell ref="H11:I11"/>
    <mergeCell ref="J11:K11"/>
    <mergeCell ref="L11:M11"/>
    <mergeCell ref="B12:C12"/>
    <mergeCell ref="D12:E12"/>
    <mergeCell ref="F12:G12"/>
    <mergeCell ref="H12:I12"/>
    <mergeCell ref="J12:K12"/>
    <mergeCell ref="L12:M12"/>
    <mergeCell ref="B13:C13"/>
    <mergeCell ref="D13:E13"/>
    <mergeCell ref="F13:G13"/>
    <mergeCell ref="H13:I13"/>
    <mergeCell ref="J13:K13"/>
    <mergeCell ref="L13:M13"/>
    <mergeCell ref="B14:C14"/>
    <mergeCell ref="D14:E14"/>
    <mergeCell ref="F14:G14"/>
    <mergeCell ref="H14:I14"/>
    <mergeCell ref="J14:K14"/>
    <mergeCell ref="L14:M14"/>
    <mergeCell ref="B15:C15"/>
    <mergeCell ref="D15:E15"/>
    <mergeCell ref="F15:G15"/>
    <mergeCell ref="H15:I15"/>
    <mergeCell ref="J15:K15"/>
    <mergeCell ref="L15:M15"/>
    <mergeCell ref="B18:M18"/>
    <mergeCell ref="B19:M19"/>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C6A8A"/>
    <pageSetUpPr fitToPage="false"/>
  </sheetPr>
  <dimension ref="B1:L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C17" activeCellId="0" sqref="C17"/>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1"/>
  </cols>
  <sheetData>
    <row r="1" customFormat="false" ht="15" hidden="false" customHeight="true" outlineLevel="0" collapsed="false">
      <c r="B1" s="6"/>
      <c r="E1" s="6"/>
    </row>
    <row r="2" customFormat="false" ht="33.75" hidden="false" customHeight="true" outlineLevel="0" collapsed="false">
      <c r="B2" s="88" t="s">
        <v>2768</v>
      </c>
      <c r="C2" s="88"/>
      <c r="D2" s="88"/>
      <c r="E2" s="88"/>
      <c r="F2" s="88"/>
      <c r="G2" s="88"/>
      <c r="H2" s="88"/>
      <c r="I2" s="88"/>
      <c r="J2" s="88"/>
      <c r="K2" s="88"/>
      <c r="L2" s="88"/>
    </row>
    <row r="3" customFormat="false" ht="48.75" hidden="false" customHeight="true" outlineLevel="0" collapsed="false">
      <c r="B3" s="90" t="s">
        <v>2769</v>
      </c>
      <c r="C3" s="90"/>
      <c r="D3" s="90"/>
      <c r="E3" s="90"/>
      <c r="F3" s="90"/>
      <c r="G3" s="90"/>
      <c r="H3" s="90"/>
      <c r="I3" s="90"/>
      <c r="J3" s="90"/>
      <c r="K3" s="90"/>
      <c r="L3" s="90"/>
    </row>
    <row r="4" customFormat="false" ht="15" hidden="false" customHeight="true" outlineLevel="0" collapsed="false">
      <c r="B4" s="6"/>
      <c r="E4" s="6"/>
    </row>
    <row r="5" customFormat="false" ht="33.75" hidden="false" customHeight="true" outlineLevel="0" collapsed="false">
      <c r="B5" s="763" t="s">
        <v>2770</v>
      </c>
      <c r="C5" s="637"/>
      <c r="D5" s="764"/>
      <c r="E5" s="6"/>
    </row>
    <row r="6" customFormat="false" ht="19.5" hidden="false" customHeight="true" outlineLevel="0" collapsed="false">
      <c r="B6" s="765" t="s">
        <v>1112</v>
      </c>
      <c r="C6" s="617" t="s">
        <v>2771</v>
      </c>
      <c r="D6" s="617" t="s">
        <v>395</v>
      </c>
      <c r="E6" s="616" t="s">
        <v>2772</v>
      </c>
      <c r="F6" s="617" t="s">
        <v>2773</v>
      </c>
    </row>
    <row r="7" customFormat="false" ht="15" hidden="false" customHeight="true" outlineLevel="0" collapsed="false">
      <c r="B7" s="113" t="s">
        <v>2774</v>
      </c>
      <c r="C7" s="385" t="n">
        <f aca="false">'Master Cost'!C42</f>
        <v>95000</v>
      </c>
      <c r="D7" s="538" t="s">
        <v>2775</v>
      </c>
      <c r="E7" s="241" t="n">
        <f aca="false">'Master Cost'!C42/1</f>
        <v>95000</v>
      </c>
      <c r="F7" s="177" t="n">
        <f aca="false">'Master Cost'!C42/'Master Cost'!C55</f>
        <v>0.0539297574089161</v>
      </c>
    </row>
    <row r="8" customFormat="false" ht="15" hidden="false" customHeight="true" outlineLevel="0" collapsed="false">
      <c r="B8" s="113" t="s">
        <v>2051</v>
      </c>
      <c r="C8" s="385" t="n">
        <f aca="false">'Master Cost'!C43</f>
        <v>57000</v>
      </c>
      <c r="D8" s="538" t="s">
        <v>2776</v>
      </c>
      <c r="E8" s="241" t="n">
        <f aca="false">'Master Cost'!C43/2</f>
        <v>28500</v>
      </c>
      <c r="F8" s="177" t="n">
        <f aca="false">'Master Cost'!C43/'Master Cost'!C55</f>
        <v>0.0323578544453497</v>
      </c>
    </row>
    <row r="9" customFormat="false" ht="15" hidden="false" customHeight="true" outlineLevel="0" collapsed="false">
      <c r="B9" s="113" t="s">
        <v>2053</v>
      </c>
      <c r="C9" s="385" t="n">
        <f aca="false">'Master Cost'!C44</f>
        <v>190000</v>
      </c>
      <c r="D9" s="538" t="s">
        <v>2777</v>
      </c>
      <c r="E9" s="6" t="s">
        <v>672</v>
      </c>
      <c r="F9" s="177" t="n">
        <f aca="false">'Master Cost'!C44/'Master Cost'!C55</f>
        <v>0.107859514817832</v>
      </c>
    </row>
    <row r="10" customFormat="false" ht="15" hidden="false" customHeight="true" outlineLevel="0" collapsed="false">
      <c r="B10" s="113" t="s">
        <v>2055</v>
      </c>
      <c r="C10" s="385" t="n">
        <f aca="false">'Master Cost'!C45</f>
        <v>47500</v>
      </c>
      <c r="D10" s="538" t="s">
        <v>2778</v>
      </c>
      <c r="E10" s="241" t="n">
        <f aca="false">'Master Cost'!C45/1.5</f>
        <v>31666.6666666667</v>
      </c>
      <c r="F10" s="177" t="n">
        <f aca="false">'Master Cost'!C45/'Master Cost'!C55</f>
        <v>0.0269648787044581</v>
      </c>
    </row>
    <row r="11" customFormat="false" ht="15" hidden="false" customHeight="true" outlineLevel="0" collapsed="false">
      <c r="B11" s="126" t="s">
        <v>2779</v>
      </c>
      <c r="C11" s="385" t="n">
        <f aca="false">'Master Cost'!C46</f>
        <v>33250</v>
      </c>
      <c r="D11" s="538" t="s">
        <v>2780</v>
      </c>
      <c r="E11" s="241" t="n">
        <f aca="false">'Master Cost'!C46/1</f>
        <v>33250</v>
      </c>
      <c r="F11" s="177" t="n">
        <f aca="false">'Master Cost'!C46/'Master Cost'!C55</f>
        <v>0.0188754150931206</v>
      </c>
    </row>
    <row r="12" customFormat="false" ht="15" hidden="false" customHeight="true" outlineLevel="0" collapsed="false">
      <c r="B12" s="766" t="s">
        <v>2781</v>
      </c>
      <c r="C12" s="767" t="n">
        <f aca="false">'Master Cost'!C47</f>
        <v>28500</v>
      </c>
      <c r="D12" s="768" t="s">
        <v>2782</v>
      </c>
      <c r="E12" s="241" t="n">
        <f aca="false">'Master Cost'!C47/1</f>
        <v>28500</v>
      </c>
      <c r="F12" s="177" t="n">
        <f aca="false">'Master Cost'!C47/'Master Cost'!C55</f>
        <v>0.0161789272226748</v>
      </c>
    </row>
    <row r="13" customFormat="false" ht="19.5" hidden="false" customHeight="true" outlineLevel="0" collapsed="false">
      <c r="B13" s="618" t="s">
        <v>2783</v>
      </c>
      <c r="C13" s="622" t="n">
        <f aca="false">SUM(C7:C12)</f>
        <v>451250</v>
      </c>
      <c r="E13" s="6"/>
    </row>
    <row r="14" customFormat="false" ht="24" hidden="false" customHeight="true" outlineLevel="0" collapsed="false">
      <c r="B14" s="660"/>
      <c r="E14" s="6"/>
    </row>
    <row r="15" customFormat="false" ht="33.75" hidden="false" customHeight="true" outlineLevel="0" collapsed="false">
      <c r="B15" s="763" t="s">
        <v>2784</v>
      </c>
      <c r="C15" s="385"/>
      <c r="D15" s="538"/>
      <c r="E15" s="6"/>
    </row>
    <row r="16" customFormat="false" ht="15" hidden="false" customHeight="true" outlineLevel="0" collapsed="false">
      <c r="B16" s="765" t="s">
        <v>1112</v>
      </c>
      <c r="C16" s="769" t="s">
        <v>2771</v>
      </c>
      <c r="D16" s="770" t="s">
        <v>395</v>
      </c>
      <c r="E16" s="616" t="s">
        <v>2785</v>
      </c>
      <c r="F16" s="617" t="s">
        <v>2773</v>
      </c>
    </row>
    <row r="17" customFormat="false" ht="15" hidden="false" customHeight="true" outlineLevel="0" collapsed="false">
      <c r="B17" s="771" t="s">
        <v>2786</v>
      </c>
      <c r="C17" s="767" t="n">
        <f aca="false">'Master Cost'!C50</f>
        <v>700000</v>
      </c>
      <c r="D17" s="768" t="s">
        <v>2787</v>
      </c>
      <c r="E17" s="241" t="n">
        <f aca="false">'Master Cost'!C50/6300</f>
        <v>111.111111111111</v>
      </c>
      <c r="F17" s="177" t="n">
        <f aca="false">'Master Cost'!C50/'Master Cost'!C55</f>
        <v>0.397377159855171</v>
      </c>
    </row>
    <row r="18" customFormat="false" ht="19.5" hidden="false" customHeight="true" outlineLevel="0" collapsed="false">
      <c r="B18" s="6" t="s">
        <v>2788</v>
      </c>
      <c r="C18" s="142" t="n">
        <f aca="false">'Master Cost'!C51</f>
        <v>132840</v>
      </c>
      <c r="D18" s="0" t="s">
        <v>2789</v>
      </c>
      <c r="E18" s="241" t="n">
        <f aca="false">'Master Cost'!C51/6300</f>
        <v>21.0857142857143</v>
      </c>
      <c r="F18" s="177" t="n">
        <f aca="false">'Master Cost'!C51/'Master Cost'!C55</f>
        <v>0.0754108313073728</v>
      </c>
    </row>
    <row r="19" customFormat="false" ht="15" hidden="false" customHeight="true" outlineLevel="0" collapsed="false">
      <c r="B19" s="722" t="s">
        <v>2790</v>
      </c>
      <c r="C19" s="142" t="n">
        <f aca="false">'Master Cost'!C48</f>
        <v>28500</v>
      </c>
      <c r="D19" s="0" t="s">
        <v>2791</v>
      </c>
      <c r="E19" s="772" t="n">
        <f aca="false">'Master Cost'!C48/6300</f>
        <v>4.52380952380952</v>
      </c>
      <c r="F19" s="177" t="n">
        <f aca="false">'Master Cost'!C48/'Master Cost'!C55</f>
        <v>0.0161789272226748</v>
      </c>
    </row>
    <row r="20" customFormat="false" ht="15" hidden="false" customHeight="true" outlineLevel="0" collapsed="false">
      <c r="B20" s="126" t="s">
        <v>2063</v>
      </c>
      <c r="C20" s="385" t="n">
        <f aca="false">'Master Cost'!C49</f>
        <v>19000</v>
      </c>
      <c r="D20" s="538" t="s">
        <v>2792</v>
      </c>
      <c r="E20" s="772" t="n">
        <f aca="false">'Master Cost'!C49/6300</f>
        <v>3.01587301587302</v>
      </c>
      <c r="F20" s="177" t="n">
        <f aca="false">'Master Cost'!C49/'Master Cost'!C55</f>
        <v>0.0107859514817832</v>
      </c>
    </row>
    <row r="21" customFormat="false" ht="15" hidden="false" customHeight="true" outlineLevel="0" collapsed="false">
      <c r="B21" s="773" t="s">
        <v>2793</v>
      </c>
      <c r="C21" s="774" t="n">
        <f aca="false">SUM(C17:C20)</f>
        <v>880340</v>
      </c>
      <c r="D21" s="538"/>
      <c r="E21" s="6"/>
    </row>
    <row r="22" customFormat="false" ht="15" hidden="false" customHeight="true" outlineLevel="0" collapsed="false">
      <c r="B22" s="766"/>
      <c r="C22" s="767"/>
      <c r="D22" s="768"/>
      <c r="E22" s="6"/>
    </row>
    <row r="23" customFormat="false" ht="33.75" hidden="false" customHeight="true" outlineLevel="0" collapsed="false">
      <c r="B23" s="156" t="s">
        <v>2794</v>
      </c>
      <c r="E23" s="6"/>
    </row>
    <row r="24" customFormat="false" ht="27.75" hidden="false" customHeight="true" outlineLevel="0" collapsed="false">
      <c r="B24" s="765" t="s">
        <v>1112</v>
      </c>
      <c r="C24" s="617" t="s">
        <v>2771</v>
      </c>
      <c r="D24" s="617" t="s">
        <v>395</v>
      </c>
      <c r="E24" s="616" t="s">
        <v>2795</v>
      </c>
      <c r="F24" s="617" t="s">
        <v>2773</v>
      </c>
    </row>
    <row r="25" customFormat="false" ht="17.25" hidden="false" customHeight="true" outlineLevel="0" collapsed="false">
      <c r="B25" s="654" t="s">
        <v>2073</v>
      </c>
      <c r="C25" s="775" t="n">
        <f aca="false">'Master Cost'!C54</f>
        <v>79800</v>
      </c>
      <c r="D25" s="776" t="s">
        <v>2796</v>
      </c>
      <c r="E25" s="6" t="s">
        <v>2797</v>
      </c>
      <c r="F25" s="177" t="n">
        <f aca="false">'Master Cost'!C54/'Master Cost'!C55</f>
        <v>0.0453009962234896</v>
      </c>
    </row>
    <row r="26" customFormat="false" ht="19.5" hidden="false" customHeight="true" outlineLevel="0" collapsed="false">
      <c r="B26" s="6" t="s">
        <v>2798</v>
      </c>
      <c r="C26" s="142" t="n">
        <f aca="false">'Master Cost'!C52</f>
        <v>200160.6645</v>
      </c>
      <c r="D26" s="0" t="s">
        <v>2799</v>
      </c>
      <c r="E26" s="6" t="s">
        <v>2800</v>
      </c>
      <c r="F26" s="177" t="n">
        <f aca="false">'Master Cost'!C52/'Master Cost'!C55</f>
        <v>0.113627537676763</v>
      </c>
    </row>
    <row r="27" customFormat="false" ht="15" hidden="false" customHeight="true" outlineLevel="0" collapsed="false">
      <c r="B27" s="722" t="s">
        <v>2071</v>
      </c>
      <c r="C27" s="142" t="n">
        <f aca="false">'Master Cost'!C53</f>
        <v>150000</v>
      </c>
      <c r="D27" s="0" t="s">
        <v>2801</v>
      </c>
      <c r="E27" s="6" t="s">
        <v>2802</v>
      </c>
      <c r="F27" s="177" t="n">
        <f aca="false">'Master Cost'!C53/'Master Cost'!C55</f>
        <v>0.0851522485403939</v>
      </c>
    </row>
    <row r="28" customFormat="false" ht="15" hidden="false" customHeight="true" outlineLevel="0" collapsed="false">
      <c r="B28" s="773" t="s">
        <v>2803</v>
      </c>
      <c r="C28" s="777" t="n">
        <f aca="false">SUM(C25:C27)</f>
        <v>429960.6645</v>
      </c>
      <c r="D28" s="565"/>
      <c r="E28" s="6"/>
    </row>
    <row r="29" customFormat="false" ht="24" hidden="false" customHeight="true" outlineLevel="0" collapsed="false">
      <c r="B29" s="113"/>
      <c r="C29" s="648"/>
      <c r="D29" s="565"/>
      <c r="E29" s="6"/>
    </row>
    <row r="30" customFormat="false" ht="15" hidden="false" customHeight="true" outlineLevel="0" collapsed="false">
      <c r="B30" s="763" t="s">
        <v>2804</v>
      </c>
      <c r="C30" s="778" t="n">
        <f aca="false">'Master Cost'!C55</f>
        <v>1761550.6645</v>
      </c>
      <c r="D30" s="779"/>
      <c r="E30" s="6"/>
    </row>
    <row r="31" customFormat="false" ht="33.75" hidden="false" customHeight="true" outlineLevel="0" collapsed="false">
      <c r="B31" s="6" t="s">
        <v>2805</v>
      </c>
      <c r="C31" s="0" t="str">
        <f aca="false">IF(ABS(C13+C21+C28-C30)&lt;1,"✓ Reconciles","✗ Drift: "&amp;TEXT(C13+C21+C28-C30,"$#,##0"))</f>
        <v>✓ Reconciles</v>
      </c>
      <c r="E31" s="6"/>
    </row>
    <row r="32" customFormat="false" ht="21.75" hidden="false" customHeight="true" outlineLevel="0" collapsed="false">
      <c r="B32" s="660"/>
      <c r="E32" s="6"/>
    </row>
    <row r="33" customFormat="false" ht="33.75" hidden="false" customHeight="true" outlineLevel="0" collapsed="false">
      <c r="B33" s="763" t="s">
        <v>2806</v>
      </c>
      <c r="E33" s="99"/>
      <c r="F33" s="98"/>
      <c r="G33" s="98"/>
      <c r="H33" s="98"/>
      <c r="I33" s="98"/>
      <c r="J33" s="98"/>
      <c r="K33" s="98"/>
      <c r="L33" s="98"/>
    </row>
    <row r="34" customFormat="false" ht="24" hidden="false" customHeight="true" outlineLevel="0" collapsed="false">
      <c r="B34" s="592" t="s">
        <v>2807</v>
      </c>
      <c r="C34" s="0" t="n">
        <f aca="false">-'Master Cost'!C50</f>
        <v>-700000</v>
      </c>
      <c r="E34" s="780"/>
      <c r="F34" s="781"/>
      <c r="G34" s="781"/>
      <c r="H34" s="781"/>
      <c r="I34" s="781"/>
      <c r="J34" s="781"/>
      <c r="K34" s="781"/>
      <c r="L34" s="781"/>
    </row>
    <row r="35" customFormat="false" ht="15" hidden="false" customHeight="true" outlineLevel="0" collapsed="false">
      <c r="B35" s="642" t="s">
        <v>2808</v>
      </c>
      <c r="C35" s="142" t="n">
        <f aca="false">'Master Revenue'!D12</f>
        <v>321000</v>
      </c>
      <c r="E35" s="782"/>
      <c r="F35" s="406"/>
      <c r="G35" s="406"/>
      <c r="H35" s="406"/>
      <c r="I35" s="406"/>
      <c r="J35" s="406"/>
      <c r="K35" s="406"/>
      <c r="L35" s="406"/>
    </row>
    <row r="36" customFormat="false" ht="33.75" hidden="false" customHeight="true" outlineLevel="0" collapsed="false">
      <c r="B36" s="618" t="s">
        <v>2809</v>
      </c>
      <c r="C36" s="622" t="n">
        <f aca="false">C34+C35</f>
        <v>-379000</v>
      </c>
      <c r="D36" s="0" t="s">
        <v>2810</v>
      </c>
      <c r="E36" s="6"/>
    </row>
    <row r="37" customFormat="false" ht="42.75" hidden="false" customHeight="true" outlineLevel="0" collapsed="false">
      <c r="B37" s="783"/>
      <c r="E37" s="6"/>
    </row>
    <row r="38" customFormat="false" ht="33.75" hidden="false" customHeight="true" outlineLevel="0" collapsed="false">
      <c r="B38" s="156" t="s">
        <v>2811</v>
      </c>
      <c r="E38" s="6"/>
    </row>
    <row r="39" customFormat="false" ht="15" hidden="false" customHeight="true" outlineLevel="0" collapsed="false">
      <c r="B39" s="616" t="s">
        <v>750</v>
      </c>
      <c r="C39" s="617" t="s">
        <v>760</v>
      </c>
      <c r="D39" s="617" t="s">
        <v>908</v>
      </c>
      <c r="E39" s="616" t="s">
        <v>765</v>
      </c>
      <c r="F39" s="617" t="s">
        <v>770</v>
      </c>
      <c r="G39" s="617" t="s">
        <v>909</v>
      </c>
      <c r="H39" s="617" t="s">
        <v>910</v>
      </c>
      <c r="I39" s="617" t="s">
        <v>911</v>
      </c>
      <c r="J39" s="617" t="s">
        <v>912</v>
      </c>
    </row>
    <row r="40" customFormat="false" ht="15" hidden="false" customHeight="true" outlineLevel="0" collapsed="false">
      <c r="B40" s="6" t="s">
        <v>2812</v>
      </c>
      <c r="C40" s="784" t="n">
        <v>0.8</v>
      </c>
      <c r="D40" s="784" t="n">
        <v>0.9</v>
      </c>
      <c r="E40" s="785" t="n">
        <v>1</v>
      </c>
      <c r="F40" s="784" t="n">
        <v>1.03</v>
      </c>
      <c r="G40" s="784" t="n">
        <v>1.0609</v>
      </c>
      <c r="H40" s="784" t="n">
        <v>1.092727</v>
      </c>
      <c r="I40" s="784" t="n">
        <v>1.12550881</v>
      </c>
      <c r="J40" s="784" t="n">
        <v>1.1592740743</v>
      </c>
    </row>
    <row r="41" customFormat="false" ht="15" hidden="false" customHeight="true" outlineLevel="0" collapsed="false">
      <c r="B41" s="618" t="s">
        <v>2813</v>
      </c>
      <c r="C41" s="142" t="n">
        <f aca="false">$C$30*C40</f>
        <v>1409240.5316</v>
      </c>
      <c r="D41" s="142" t="n">
        <f aca="false">$C$30*D40</f>
        <v>1585395.59805</v>
      </c>
      <c r="E41" s="241" t="n">
        <f aca="false">$C$30*E40</f>
        <v>1761550.6645</v>
      </c>
      <c r="F41" s="142" t="n">
        <f aca="false">$C$30*F40</f>
        <v>1814397.184435</v>
      </c>
      <c r="G41" s="142" t="n">
        <f aca="false">$C$30*G40</f>
        <v>1868829.09996805</v>
      </c>
      <c r="H41" s="142" t="n">
        <f aca="false">$C$30*H40</f>
        <v>1924893.97296709</v>
      </c>
      <c r="I41" s="142" t="n">
        <f aca="false">$C$30*I40</f>
        <v>1982640.7921561</v>
      </c>
      <c r="J41" s="142" t="n">
        <f aca="false">$C$30*J40</f>
        <v>2042120.01592079</v>
      </c>
    </row>
    <row r="42" customFormat="false" ht="15" hidden="false" customHeight="true" outlineLevel="0" collapsed="false">
      <c r="B42" s="6"/>
      <c r="E42" s="6"/>
    </row>
    <row r="43" customFormat="false" ht="63.75" hidden="false" customHeight="true" outlineLevel="0" collapsed="false">
      <c r="B43" s="627" t="s">
        <v>2814</v>
      </c>
      <c r="E43" s="6"/>
    </row>
    <row r="44" customFormat="false" ht="78.75" hidden="false" customHeight="true" outlineLevel="0" collapsed="false">
      <c r="B44" s="627" t="s">
        <v>2815</v>
      </c>
      <c r="E44" s="6"/>
    </row>
  </sheetData>
  <mergeCells count="2">
    <mergeCell ref="B2:L2"/>
    <mergeCell ref="B3:L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04848"/>
    <pageSetUpPr fitToPage="false"/>
  </sheetPr>
  <dimension ref="B1:M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9"/>
    <col collapsed="false" customWidth="true" hidden="false" outlineLevel="0" max="8" min="6" style="0" width="11"/>
    <col collapsed="false" customWidth="true" hidden="false" outlineLevel="0" max="9" min="9" style="0" width="9"/>
    <col collapsed="false" customWidth="true" hidden="false" outlineLevel="0" max="10" min="10" style="0" width="11"/>
    <col collapsed="false" customWidth="true" hidden="false" outlineLevel="0" max="11" min="11" style="0" width="18"/>
    <col collapsed="false" customWidth="true" hidden="false" outlineLevel="0" max="12" min="12" style="0" width="11"/>
    <col collapsed="false" customWidth="true" hidden="false" outlineLevel="0" max="13" min="13" style="0" width="9"/>
  </cols>
  <sheetData>
    <row r="1" customFormat="false" ht="3.75" hidden="false" customHeight="true" outlineLevel="0" collapsed="false">
      <c r="B1" s="1"/>
      <c r="C1" s="2"/>
      <c r="D1" s="2"/>
      <c r="E1" s="2"/>
      <c r="F1" s="1"/>
      <c r="G1" s="2"/>
      <c r="H1" s="2"/>
      <c r="I1" s="2"/>
      <c r="J1" s="2"/>
      <c r="K1" s="2"/>
      <c r="L1" s="2"/>
      <c r="M1" s="2"/>
    </row>
    <row r="2" customFormat="false" ht="30" hidden="false" customHeight="true" outlineLevel="0" collapsed="false">
      <c r="B2" s="298" t="s">
        <v>2816</v>
      </c>
      <c r="C2" s="298"/>
      <c r="D2" s="298"/>
      <c r="E2" s="298"/>
      <c r="F2" s="298"/>
      <c r="G2" s="298"/>
      <c r="H2" s="298"/>
      <c r="I2" s="298"/>
      <c r="J2" s="298"/>
      <c r="K2" s="299" t="s">
        <v>995</v>
      </c>
      <c r="L2" s="299"/>
      <c r="M2" s="299"/>
    </row>
    <row r="3" customFormat="false" ht="33.75" hidden="false" customHeight="true" outlineLevel="0" collapsed="false">
      <c r="B3" s="300" t="s">
        <v>2817</v>
      </c>
      <c r="C3" s="300"/>
      <c r="D3" s="300"/>
      <c r="E3" s="300"/>
      <c r="F3" s="300"/>
      <c r="G3" s="300"/>
      <c r="H3" s="300"/>
      <c r="I3" s="300"/>
      <c r="J3" s="300"/>
      <c r="K3" s="300"/>
      <c r="L3" s="300"/>
      <c r="M3" s="300"/>
    </row>
    <row r="4" customFormat="false" ht="15" hidden="false" customHeight="true" outlineLevel="0" collapsed="false">
      <c r="B4" s="6"/>
      <c r="F4" s="6"/>
    </row>
    <row r="5" customFormat="false" ht="108.75" hidden="false" customHeight="true" outlineLevel="0" collapsed="false">
      <c r="B5" s="302" t="s">
        <v>2818</v>
      </c>
      <c r="C5" s="302"/>
      <c r="D5" s="302"/>
      <c r="E5" s="302"/>
      <c r="F5" s="302"/>
      <c r="G5" s="302"/>
      <c r="H5" s="302"/>
      <c r="I5" s="302"/>
      <c r="J5" s="302"/>
      <c r="K5" s="302"/>
      <c r="L5" s="302"/>
      <c r="M5" s="302"/>
    </row>
    <row r="6" customFormat="false" ht="15" hidden="false" customHeight="true" outlineLevel="0" collapsed="false">
      <c r="B6" s="6"/>
      <c r="F6" s="6"/>
    </row>
    <row r="7" customFormat="false" ht="15" hidden="false" customHeight="true" outlineLevel="0" collapsed="false">
      <c r="B7" s="6"/>
      <c r="F7" s="6"/>
    </row>
    <row r="8" customFormat="false" ht="24" hidden="false" customHeight="true" outlineLevel="0" collapsed="false">
      <c r="B8" s="303" t="s">
        <v>2819</v>
      </c>
      <c r="C8" s="303"/>
      <c r="D8" s="303"/>
      <c r="E8" s="303"/>
      <c r="F8" s="303"/>
      <c r="G8" s="303"/>
      <c r="H8" s="303"/>
      <c r="I8" s="303"/>
      <c r="J8" s="303"/>
      <c r="K8" s="303"/>
      <c r="L8" s="303"/>
      <c r="M8" s="303"/>
    </row>
    <row r="9" customFormat="false" ht="24" hidden="false" customHeight="true" outlineLevel="0" collapsed="false">
      <c r="B9" s="758" t="s">
        <v>738</v>
      </c>
      <c r="C9" s="758"/>
      <c r="D9" s="759" t="s">
        <v>2820</v>
      </c>
      <c r="E9" s="759"/>
      <c r="F9" s="758" t="s">
        <v>1012</v>
      </c>
      <c r="G9" s="758"/>
      <c r="H9" s="759" t="s">
        <v>907</v>
      </c>
      <c r="I9" s="759"/>
      <c r="J9" s="759"/>
      <c r="K9" s="759"/>
      <c r="L9" s="759" t="s">
        <v>139</v>
      </c>
      <c r="M9" s="759"/>
    </row>
    <row r="10" customFormat="false" ht="31.5" hidden="false" customHeight="true" outlineLevel="0" collapsed="false">
      <c r="B10" s="786" t="s">
        <v>2821</v>
      </c>
      <c r="C10" s="786"/>
      <c r="D10" s="787" t="n">
        <v>1471325.00576</v>
      </c>
      <c r="E10" s="787"/>
      <c r="F10" s="788" t="n">
        <f aca="false">'Master Cost'!I17</f>
        <v>4022722.921025</v>
      </c>
      <c r="G10" s="788"/>
      <c r="H10" s="789" t="n">
        <f aca="false">'Master Cost'!I17-D10</f>
        <v>2551397.915265</v>
      </c>
      <c r="J10" s="790" t="n">
        <f aca="false">H10/'Master Revenue'!H17</f>
        <v>0.382402494761652</v>
      </c>
      <c r="K10" s="790"/>
      <c r="L10" s="791" t="n">
        <f aca="false">H10/'Exec Summary'!C12</f>
        <v>0.382402494761652</v>
      </c>
      <c r="M10" s="791"/>
    </row>
    <row r="11" customFormat="false" ht="31.5" hidden="false" customHeight="true" outlineLevel="0" collapsed="false">
      <c r="B11" s="792" t="s">
        <v>2822</v>
      </c>
      <c r="C11" s="792"/>
      <c r="D11" s="520" t="n">
        <f aca="false">'Master Cost'!C55</f>
        <v>1761550.6645</v>
      </c>
      <c r="E11" s="520"/>
      <c r="F11" s="793" t="n">
        <f aca="false">'Master Cost'!I17</f>
        <v>4022722.921025</v>
      </c>
      <c r="G11" s="793"/>
      <c r="H11" s="794" t="n">
        <f aca="false">'Master Cost'!I17-D11</f>
        <v>2261172.256525</v>
      </c>
      <c r="J11" s="795" t="n">
        <f aca="false">H11/'Master Revenue'!H17</f>
        <v>0.338903589599894</v>
      </c>
      <c r="K11" s="795"/>
      <c r="L11" s="796" t="n">
        <f aca="false">H11/'Exec Summary'!C12</f>
        <v>0.338903589599894</v>
      </c>
      <c r="M11" s="796"/>
    </row>
    <row r="12" customFormat="false" ht="31.5" hidden="false" customHeight="true" outlineLevel="0" collapsed="false">
      <c r="B12" s="792" t="s">
        <v>2823</v>
      </c>
      <c r="C12" s="792"/>
      <c r="D12" s="520" t="n">
        <v>2206987.50864</v>
      </c>
      <c r="E12" s="520"/>
      <c r="F12" s="793" t="n">
        <f aca="false">'Master Cost'!I17</f>
        <v>4022722.921025</v>
      </c>
      <c r="G12" s="793"/>
      <c r="H12" s="794" t="n">
        <f aca="false">'Master Cost'!I17-D12</f>
        <v>1815735.412385</v>
      </c>
      <c r="J12" s="795" t="n">
        <f aca="false">H12/'Master Revenue'!H17</f>
        <v>0.272141694311521</v>
      </c>
      <c r="K12" s="795"/>
      <c r="L12" s="796" t="n">
        <f aca="false">H12/'Exec Summary'!C12</f>
        <v>0.272141694311521</v>
      </c>
      <c r="M12" s="796"/>
    </row>
    <row r="13" customFormat="false" ht="15" hidden="false" customHeight="true" outlineLevel="0" collapsed="false">
      <c r="B13" s="6"/>
      <c r="F13" s="6"/>
    </row>
    <row r="14" customFormat="false" ht="108.75" hidden="false" customHeight="true" outlineLevel="0" collapsed="false">
      <c r="B14" s="300" t="s">
        <v>2824</v>
      </c>
      <c r="C14" s="300"/>
      <c r="D14" s="300"/>
      <c r="E14" s="300"/>
      <c r="F14" s="300"/>
      <c r="G14" s="300"/>
      <c r="H14" s="300"/>
      <c r="I14" s="300"/>
      <c r="J14" s="300"/>
      <c r="K14" s="300"/>
      <c r="L14" s="300"/>
      <c r="M14" s="300"/>
    </row>
  </sheetData>
  <mergeCells count="26">
    <mergeCell ref="B2:J2"/>
    <mergeCell ref="K2:M2"/>
    <mergeCell ref="B3:M3"/>
    <mergeCell ref="B5:M5"/>
    <mergeCell ref="B8:M8"/>
    <mergeCell ref="B9:C9"/>
    <mergeCell ref="D9:E9"/>
    <mergeCell ref="F9:G9"/>
    <mergeCell ref="H9:K9"/>
    <mergeCell ref="L9:M9"/>
    <mergeCell ref="B10:C10"/>
    <mergeCell ref="D10:E10"/>
    <mergeCell ref="F10:G10"/>
    <mergeCell ref="J10:K10"/>
    <mergeCell ref="L10:M10"/>
    <mergeCell ref="B11:C11"/>
    <mergeCell ref="D11:E11"/>
    <mergeCell ref="F11:G11"/>
    <mergeCell ref="J11:K11"/>
    <mergeCell ref="L11:M11"/>
    <mergeCell ref="B12:C12"/>
    <mergeCell ref="D12:E12"/>
    <mergeCell ref="F12:G12"/>
    <mergeCell ref="J12:K12"/>
    <mergeCell ref="L12:M12"/>
    <mergeCell ref="B14:M14"/>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false"/>
  </sheetPr>
  <dimension ref="B1:M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0" min="8" style="0" width="9"/>
    <col collapsed="false" customWidth="true" hidden="false" outlineLevel="0" max="11" min="11" style="0" width="18"/>
    <col collapsed="false" customWidth="true" hidden="false" outlineLevel="0" max="13" min="12" style="0" width="9"/>
  </cols>
  <sheetData>
    <row r="1" customFormat="false" ht="3.75" hidden="false" customHeight="true" outlineLevel="0" collapsed="false">
      <c r="B1" s="1"/>
      <c r="C1" s="2"/>
      <c r="D1" s="2"/>
      <c r="E1" s="2"/>
      <c r="F1" s="2"/>
      <c r="G1" s="2"/>
      <c r="H1" s="2"/>
      <c r="I1" s="2"/>
      <c r="J1" s="1"/>
      <c r="K1" s="2"/>
      <c r="L1" s="2"/>
      <c r="M1" s="2"/>
    </row>
    <row r="2" customFormat="false" ht="30" hidden="false" customHeight="true" outlineLevel="0" collapsed="false">
      <c r="B2" s="298" t="s">
        <v>2825</v>
      </c>
      <c r="C2" s="298"/>
      <c r="D2" s="298"/>
      <c r="E2" s="298"/>
      <c r="F2" s="298"/>
      <c r="G2" s="298"/>
      <c r="H2" s="298"/>
      <c r="I2" s="298"/>
      <c r="J2" s="298"/>
      <c r="K2" s="299" t="s">
        <v>995</v>
      </c>
      <c r="L2" s="299"/>
      <c r="M2" s="299"/>
    </row>
    <row r="3" customFormat="false" ht="33.75" hidden="false" customHeight="true" outlineLevel="0" collapsed="false">
      <c r="B3" s="757" t="s">
        <v>2826</v>
      </c>
      <c r="C3" s="757"/>
      <c r="D3" s="757"/>
      <c r="E3" s="757"/>
      <c r="F3" s="757"/>
      <c r="G3" s="757"/>
      <c r="H3" s="757"/>
      <c r="I3" s="757"/>
      <c r="J3" s="757"/>
      <c r="K3" s="757"/>
      <c r="L3" s="757"/>
      <c r="M3" s="757"/>
    </row>
    <row r="4" customFormat="false" ht="15" hidden="false" customHeight="true" outlineLevel="0" collapsed="false">
      <c r="B4" s="6"/>
      <c r="J4" s="6"/>
    </row>
    <row r="5" customFormat="false" ht="24" hidden="false" customHeight="true" outlineLevel="0" collapsed="false">
      <c r="B5" s="3" t="s">
        <v>2827</v>
      </c>
      <c r="C5" s="3"/>
      <c r="D5" s="3"/>
      <c r="E5" s="3"/>
      <c r="F5" s="3"/>
      <c r="G5" s="3"/>
      <c r="H5" s="3"/>
      <c r="I5" s="3"/>
      <c r="J5" s="3"/>
      <c r="K5" s="3"/>
      <c r="L5" s="3"/>
      <c r="M5" s="3"/>
    </row>
    <row r="6" customFormat="false" ht="24" hidden="false" customHeight="true" outlineLevel="0" collapsed="false">
      <c r="B6" s="797" t="s">
        <v>738</v>
      </c>
      <c r="C6" s="798" t="s">
        <v>760</v>
      </c>
      <c r="D6" s="798" t="s">
        <v>908</v>
      </c>
      <c r="E6" s="798" t="s">
        <v>765</v>
      </c>
      <c r="F6" s="798" t="s">
        <v>770</v>
      </c>
      <c r="G6" s="798" t="s">
        <v>778</v>
      </c>
      <c r="J6" s="6"/>
    </row>
    <row r="7" customFormat="false" ht="30" hidden="false" customHeight="true" outlineLevel="0" collapsed="false">
      <c r="B7" s="49" t="s">
        <v>2828</v>
      </c>
      <c r="C7" s="799" t="s">
        <v>2829</v>
      </c>
      <c r="D7" s="799" t="s">
        <v>2830</v>
      </c>
      <c r="E7" s="799" t="s">
        <v>2831</v>
      </c>
      <c r="F7" s="799" t="s">
        <v>2832</v>
      </c>
      <c r="G7" s="799" t="s">
        <v>2833</v>
      </c>
      <c r="J7" s="6"/>
    </row>
    <row r="8" customFormat="false" ht="30" hidden="false" customHeight="true" outlineLevel="0" collapsed="false">
      <c r="B8" s="49" t="s">
        <v>2834</v>
      </c>
      <c r="C8" s="799" t="s">
        <v>2835</v>
      </c>
      <c r="D8" s="799" t="s">
        <v>2836</v>
      </c>
      <c r="E8" s="799" t="s">
        <v>2837</v>
      </c>
      <c r="F8" s="799" t="s">
        <v>2838</v>
      </c>
      <c r="G8" s="799" t="s">
        <v>2839</v>
      </c>
      <c r="J8" s="6"/>
    </row>
    <row r="9" customFormat="false" ht="30" hidden="false" customHeight="true" outlineLevel="0" collapsed="false">
      <c r="B9" s="49" t="s">
        <v>2840</v>
      </c>
      <c r="C9" s="799" t="s">
        <v>2841</v>
      </c>
      <c r="D9" s="799" t="s">
        <v>2842</v>
      </c>
      <c r="E9" s="799" t="s">
        <v>2843</v>
      </c>
      <c r="F9" s="799" t="s">
        <v>2838</v>
      </c>
      <c r="G9" s="799" t="s">
        <v>2844</v>
      </c>
      <c r="J9" s="6"/>
    </row>
    <row r="10" customFormat="false" ht="15" hidden="false" customHeight="true" outlineLevel="0" collapsed="false">
      <c r="B10" s="6"/>
      <c r="J10" s="6"/>
    </row>
    <row r="11" customFormat="false" ht="15" hidden="false" customHeight="true" outlineLevel="0" collapsed="false">
      <c r="B11" s="6"/>
      <c r="J11" s="6"/>
    </row>
    <row r="12" customFormat="false" ht="24" hidden="false" customHeight="true" outlineLevel="0" collapsed="false">
      <c r="B12" s="3" t="s">
        <v>2845</v>
      </c>
      <c r="C12" s="3"/>
      <c r="D12" s="3"/>
      <c r="E12" s="3"/>
      <c r="F12" s="3"/>
      <c r="G12" s="3"/>
      <c r="H12" s="3"/>
      <c r="I12" s="3"/>
      <c r="J12" s="3"/>
      <c r="K12" s="3"/>
      <c r="L12" s="3"/>
      <c r="M12" s="3"/>
    </row>
    <row r="13" customFormat="false" ht="24" hidden="false" customHeight="true" outlineLevel="0" collapsed="false">
      <c r="B13" s="797" t="s">
        <v>738</v>
      </c>
      <c r="C13" s="798" t="s">
        <v>760</v>
      </c>
      <c r="D13" s="798" t="s">
        <v>908</v>
      </c>
      <c r="E13" s="798" t="s">
        <v>765</v>
      </c>
      <c r="F13" s="798" t="s">
        <v>770</v>
      </c>
      <c r="J13" s="6"/>
    </row>
    <row r="14" customFormat="false" ht="30" hidden="false" customHeight="true" outlineLevel="0" collapsed="false">
      <c r="B14" s="49" t="s">
        <v>2828</v>
      </c>
      <c r="C14" s="800" t="n">
        <f aca="false">0.2*'Master Revenue'!H17</f>
        <v>1334404.43</v>
      </c>
      <c r="D14" s="800" t="n">
        <f aca="false">0.5*'Master Revenue'!H17</f>
        <v>3336011.075</v>
      </c>
      <c r="E14" s="800" t="n">
        <f aca="false">0.8*'Master Revenue'!H17</f>
        <v>5337617.72</v>
      </c>
      <c r="F14" s="800" t="n">
        <f aca="false">'Master Revenue'!H17</f>
        <v>6672022.15</v>
      </c>
      <c r="J14" s="6"/>
    </row>
    <row r="15" customFormat="false" ht="30" hidden="false" customHeight="true" outlineLevel="0" collapsed="false">
      <c r="B15" s="49" t="s">
        <v>2834</v>
      </c>
      <c r="C15" s="800" t="n">
        <f aca="false">0.3*'Master Revenue'!H17</f>
        <v>2001606.645</v>
      </c>
      <c r="D15" s="800" t="n">
        <f aca="false">0.65*'Master Revenue'!H17</f>
        <v>4336814.3975</v>
      </c>
      <c r="E15" s="800" t="n">
        <f aca="false">0.9*'Master Revenue'!H17</f>
        <v>6004819.935</v>
      </c>
      <c r="F15" s="800" t="n">
        <f aca="false">'Master Revenue'!H17</f>
        <v>6672022.15</v>
      </c>
      <c r="J15" s="6"/>
    </row>
    <row r="16" customFormat="false" ht="30" hidden="false" customHeight="true" outlineLevel="0" collapsed="false">
      <c r="B16" s="49" t="s">
        <v>2840</v>
      </c>
      <c r="C16" s="800" t="n">
        <f aca="false">0.4*'Master Revenue'!H17</f>
        <v>2668808.86</v>
      </c>
      <c r="D16" s="800" t="n">
        <f aca="false">0.75*'Master Revenue'!H17</f>
        <v>5004016.6125</v>
      </c>
      <c r="E16" s="800" t="n">
        <f aca="false">0.95*'Master Revenue'!H17</f>
        <v>6338421.0425</v>
      </c>
      <c r="F16" s="800" t="n">
        <f aca="false">'Master Revenue'!H17</f>
        <v>6672022.15</v>
      </c>
      <c r="J16" s="6"/>
    </row>
    <row r="17" customFormat="false" ht="15" hidden="false" customHeight="true" outlineLevel="0" collapsed="false">
      <c r="B17" s="6"/>
      <c r="J17" s="6"/>
    </row>
    <row r="18" customFormat="false" ht="15" hidden="false" customHeight="true" outlineLevel="0" collapsed="false">
      <c r="B18" s="6"/>
      <c r="J18" s="6"/>
    </row>
    <row r="19" customFormat="false" ht="108.75" hidden="false" customHeight="true" outlineLevel="0" collapsed="false">
      <c r="B19" s="757" t="s">
        <v>2846</v>
      </c>
      <c r="C19" s="757"/>
      <c r="D19" s="757"/>
      <c r="E19" s="757"/>
      <c r="F19" s="757"/>
      <c r="G19" s="757"/>
      <c r="H19" s="757"/>
      <c r="I19" s="757"/>
      <c r="J19" s="757"/>
      <c r="K19" s="757"/>
      <c r="L19" s="757"/>
      <c r="M19" s="757"/>
    </row>
  </sheetData>
  <mergeCells count="6">
    <mergeCell ref="B2:J2"/>
    <mergeCell ref="K2:M2"/>
    <mergeCell ref="B3:M3"/>
    <mergeCell ref="B5:M5"/>
    <mergeCell ref="B12:M12"/>
    <mergeCell ref="B19:M19"/>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false"/>
  </sheetPr>
  <dimension ref="B1:M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8"/>
    <col collapsed="false" customWidth="true" hidden="false" outlineLevel="0" max="8" min="7" style="0" width="9"/>
    <col collapsed="false" customWidth="true" hidden="false" outlineLevel="0" max="9" min="9" style="0" width="21"/>
    <col collapsed="false" customWidth="true" hidden="false" outlineLevel="0" max="10" min="10" style="0" width="9"/>
    <col collapsed="false" customWidth="true" hidden="false" outlineLevel="0" max="11" min="11" style="0" width="18"/>
    <col collapsed="false" customWidth="true" hidden="false" outlineLevel="0" max="13" min="12" style="0" width="9"/>
  </cols>
  <sheetData>
    <row r="1" customFormat="false" ht="3.75" hidden="false" customHeight="true" outlineLevel="0" collapsed="false">
      <c r="B1" s="1"/>
      <c r="C1" s="2"/>
      <c r="D1" s="2"/>
      <c r="E1" s="2"/>
      <c r="F1" s="2"/>
      <c r="G1" s="1"/>
      <c r="H1" s="2"/>
      <c r="I1" s="2"/>
      <c r="J1" s="2"/>
      <c r="K1" s="2"/>
      <c r="L1" s="2"/>
      <c r="M1" s="2"/>
    </row>
    <row r="2" customFormat="false" ht="30" hidden="false" customHeight="true" outlineLevel="0" collapsed="false">
      <c r="B2" s="298" t="s">
        <v>2847</v>
      </c>
      <c r="C2" s="298"/>
      <c r="D2" s="298"/>
      <c r="E2" s="298"/>
      <c r="F2" s="298"/>
      <c r="G2" s="298"/>
      <c r="H2" s="298"/>
      <c r="I2" s="298"/>
      <c r="J2" s="298"/>
      <c r="K2" s="299" t="s">
        <v>995</v>
      </c>
      <c r="L2" s="299"/>
      <c r="M2" s="299"/>
    </row>
    <row r="3" customFormat="false" ht="33.75" hidden="false" customHeight="true" outlineLevel="0" collapsed="false">
      <c r="B3" s="757" t="s">
        <v>2848</v>
      </c>
      <c r="C3" s="757"/>
      <c r="D3" s="757"/>
      <c r="E3" s="757"/>
      <c r="F3" s="757"/>
      <c r="G3" s="757"/>
      <c r="H3" s="757"/>
      <c r="I3" s="757"/>
      <c r="J3" s="757"/>
      <c r="K3" s="757"/>
      <c r="L3" s="757"/>
      <c r="M3" s="757"/>
    </row>
    <row r="4" customFormat="false" ht="15" hidden="false" customHeight="true" outlineLevel="0" collapsed="false">
      <c r="B4" s="6"/>
      <c r="G4" s="6"/>
    </row>
    <row r="5" customFormat="false" ht="33.75" hidden="false" customHeight="true" outlineLevel="0" collapsed="false">
      <c r="B5" s="3" t="s">
        <v>2849</v>
      </c>
      <c r="C5" s="3"/>
      <c r="D5" s="3"/>
      <c r="E5" s="3"/>
      <c r="F5" s="3"/>
      <c r="G5" s="3"/>
      <c r="H5" s="3"/>
      <c r="I5" s="3"/>
      <c r="J5" s="3"/>
      <c r="K5" s="3"/>
      <c r="L5" s="3"/>
      <c r="M5" s="3"/>
    </row>
    <row r="6" customFormat="false" ht="93.75" hidden="false" customHeight="true" outlineLevel="0" collapsed="false">
      <c r="B6" s="45" t="s">
        <v>2850</v>
      </c>
      <c r="C6" s="45"/>
      <c r="D6" s="45"/>
      <c r="E6" s="45"/>
      <c r="F6" s="45"/>
      <c r="G6" s="45"/>
      <c r="H6" s="45"/>
      <c r="I6" s="45"/>
      <c r="J6" s="45"/>
      <c r="K6" s="45"/>
      <c r="L6" s="45"/>
      <c r="M6" s="45"/>
    </row>
    <row r="7" customFormat="false" ht="15" hidden="false" customHeight="true" outlineLevel="0" collapsed="false">
      <c r="B7" s="6"/>
      <c r="G7" s="6"/>
    </row>
    <row r="8" customFormat="false" ht="33.75" hidden="false" customHeight="true" outlineLevel="0" collapsed="false">
      <c r="B8" s="801" t="s">
        <v>2851</v>
      </c>
      <c r="C8" s="801"/>
      <c r="D8" s="801"/>
      <c r="E8" s="801"/>
      <c r="F8" s="801"/>
      <c r="G8" s="801"/>
      <c r="H8" s="801"/>
      <c r="I8" s="801"/>
      <c r="J8" s="801"/>
      <c r="K8" s="801"/>
      <c r="L8" s="801"/>
      <c r="M8" s="801"/>
    </row>
    <row r="9" customFormat="false" ht="15" hidden="false" customHeight="true" outlineLevel="0" collapsed="false">
      <c r="B9" s="6"/>
      <c r="G9" s="6"/>
    </row>
    <row r="10" customFormat="false" ht="24" hidden="false" customHeight="true" outlineLevel="0" collapsed="false">
      <c r="B10" s="3" t="s">
        <v>2852</v>
      </c>
      <c r="C10" s="3"/>
      <c r="D10" s="3"/>
      <c r="E10" s="3"/>
      <c r="F10" s="3"/>
      <c r="G10" s="3"/>
      <c r="H10" s="3"/>
      <c r="I10" s="3"/>
      <c r="J10" s="3"/>
      <c r="K10" s="3"/>
      <c r="L10" s="3"/>
      <c r="M10" s="3"/>
    </row>
    <row r="11" customFormat="false" ht="93.75" hidden="false" customHeight="true" outlineLevel="0" collapsed="false">
      <c r="B11" s="45" t="s">
        <v>2853</v>
      </c>
      <c r="C11" s="45"/>
      <c r="D11" s="45"/>
      <c r="E11" s="45"/>
      <c r="F11" s="45"/>
      <c r="G11" s="45"/>
      <c r="H11" s="45"/>
      <c r="I11" s="45"/>
      <c r="J11" s="45"/>
      <c r="K11" s="45"/>
      <c r="L11" s="45"/>
      <c r="M11" s="45"/>
    </row>
    <row r="12" customFormat="false" ht="15" hidden="false" customHeight="true" outlineLevel="0" collapsed="false">
      <c r="B12" s="6"/>
      <c r="G12" s="6"/>
    </row>
    <row r="13" customFormat="false" ht="33.75" hidden="false" customHeight="true" outlineLevel="0" collapsed="false">
      <c r="B13" s="801" t="s">
        <v>2854</v>
      </c>
      <c r="C13" s="801"/>
      <c r="D13" s="801"/>
      <c r="E13" s="801"/>
      <c r="F13" s="801"/>
      <c r="G13" s="801"/>
      <c r="H13" s="801"/>
      <c r="I13" s="801"/>
      <c r="J13" s="801"/>
      <c r="K13" s="801"/>
      <c r="L13" s="801"/>
      <c r="M13" s="801"/>
    </row>
    <row r="14" customFormat="false" ht="15" hidden="false" customHeight="true" outlineLevel="0" collapsed="false">
      <c r="B14" s="6"/>
      <c r="G14" s="6"/>
    </row>
    <row r="15" customFormat="false" ht="33.75" hidden="false" customHeight="true" outlineLevel="0" collapsed="false">
      <c r="B15" s="3" t="s">
        <v>2855</v>
      </c>
      <c r="C15" s="3"/>
      <c r="D15" s="3"/>
      <c r="E15" s="3"/>
      <c r="F15" s="3"/>
      <c r="G15" s="3"/>
      <c r="H15" s="3"/>
      <c r="I15" s="3"/>
      <c r="J15" s="3"/>
      <c r="K15" s="3"/>
      <c r="L15" s="3"/>
      <c r="M15" s="3"/>
    </row>
    <row r="16" customFormat="false" ht="93.75" hidden="false" customHeight="true" outlineLevel="0" collapsed="false">
      <c r="B16" s="45" t="s">
        <v>2856</v>
      </c>
      <c r="C16" s="45"/>
      <c r="D16" s="45"/>
      <c r="E16" s="45"/>
      <c r="F16" s="45"/>
      <c r="G16" s="45"/>
      <c r="H16" s="45"/>
      <c r="I16" s="45"/>
      <c r="J16" s="45"/>
      <c r="K16" s="45"/>
      <c r="L16" s="45"/>
      <c r="M16" s="45"/>
    </row>
    <row r="17" customFormat="false" ht="15" hidden="false" customHeight="true" outlineLevel="0" collapsed="false">
      <c r="B17" s="6"/>
      <c r="G17" s="6"/>
    </row>
    <row r="18" customFormat="false" ht="48.75" hidden="false" customHeight="true" outlineLevel="0" collapsed="false">
      <c r="B18" s="801" t="s">
        <v>2857</v>
      </c>
      <c r="C18" s="801"/>
      <c r="D18" s="801"/>
      <c r="E18" s="801"/>
      <c r="F18" s="801"/>
      <c r="G18" s="801"/>
      <c r="H18" s="801"/>
      <c r="I18" s="801"/>
      <c r="J18" s="801"/>
      <c r="K18" s="801"/>
      <c r="L18" s="801"/>
      <c r="M18" s="801"/>
    </row>
    <row r="19" customFormat="false" ht="15" hidden="false" customHeight="true" outlineLevel="0" collapsed="false">
      <c r="B19" s="6"/>
      <c r="G19" s="6"/>
    </row>
    <row r="20" customFormat="false" ht="24" hidden="false" customHeight="true" outlineLevel="0" collapsed="false">
      <c r="B20" s="3" t="s">
        <v>2858</v>
      </c>
      <c r="C20" s="3"/>
      <c r="D20" s="3"/>
      <c r="E20" s="3"/>
      <c r="F20" s="3"/>
      <c r="G20" s="3"/>
      <c r="H20" s="3"/>
      <c r="I20" s="3"/>
      <c r="J20" s="3"/>
      <c r="K20" s="3"/>
      <c r="L20" s="3"/>
      <c r="M20" s="3"/>
    </row>
    <row r="21" customFormat="false" ht="21.75" hidden="false" customHeight="true" outlineLevel="0" collapsed="false">
      <c r="B21" s="802" t="s">
        <v>2859</v>
      </c>
      <c r="C21" s="803" t="s">
        <v>2860</v>
      </c>
      <c r="D21" s="804" t="s">
        <v>2861</v>
      </c>
      <c r="E21" s="804"/>
      <c r="F21" s="804"/>
      <c r="G21" s="804"/>
      <c r="H21" s="804"/>
      <c r="I21" s="805" t="s">
        <v>2862</v>
      </c>
      <c r="J21" s="805"/>
      <c r="K21" s="805"/>
      <c r="L21" s="805"/>
      <c r="M21" s="805"/>
    </row>
    <row r="22" customFormat="false" ht="25.5" hidden="false" customHeight="true" outlineLevel="0" collapsed="false">
      <c r="B22" s="44" t="s">
        <v>2863</v>
      </c>
      <c r="C22" s="806" t="s">
        <v>2864</v>
      </c>
      <c r="D22" s="521" t="s">
        <v>2865</v>
      </c>
      <c r="E22" s="521"/>
      <c r="F22" s="521"/>
      <c r="G22" s="521"/>
      <c r="H22" s="521"/>
      <c r="I22" s="506" t="s">
        <v>2866</v>
      </c>
      <c r="J22" s="506"/>
      <c r="K22" s="506"/>
      <c r="L22" s="506"/>
      <c r="M22" s="506"/>
    </row>
    <row r="23" customFormat="false" ht="25.5" hidden="false" customHeight="true" outlineLevel="0" collapsed="false">
      <c r="B23" s="44" t="s">
        <v>2867</v>
      </c>
      <c r="C23" s="806" t="s">
        <v>2868</v>
      </c>
      <c r="D23" s="521" t="s">
        <v>2869</v>
      </c>
      <c r="E23" s="521"/>
      <c r="F23" s="521"/>
      <c r="G23" s="521"/>
      <c r="H23" s="521"/>
      <c r="I23" s="506" t="s">
        <v>2870</v>
      </c>
      <c r="J23" s="506"/>
      <c r="K23" s="506"/>
      <c r="L23" s="506"/>
      <c r="M23" s="506"/>
    </row>
    <row r="24" customFormat="false" ht="25.5" hidden="false" customHeight="true" outlineLevel="0" collapsed="false">
      <c r="B24" s="44" t="s">
        <v>2871</v>
      </c>
      <c r="C24" s="806" t="s">
        <v>2872</v>
      </c>
      <c r="D24" s="521" t="s">
        <v>2873</v>
      </c>
      <c r="E24" s="521"/>
      <c r="F24" s="521"/>
      <c r="G24" s="521"/>
      <c r="H24" s="521"/>
      <c r="I24" s="506" t="s">
        <v>2874</v>
      </c>
      <c r="J24" s="506"/>
      <c r="K24" s="506"/>
      <c r="L24" s="506"/>
      <c r="M24" s="506"/>
    </row>
    <row r="25" customFormat="false" ht="15" hidden="false" customHeight="true" outlineLevel="0" collapsed="false">
      <c r="B25" s="6"/>
      <c r="G25" s="6"/>
    </row>
    <row r="26" customFormat="false" ht="15" hidden="false" customHeight="true" outlineLevel="0" collapsed="false">
      <c r="B26" s="6"/>
      <c r="G26" s="6"/>
    </row>
    <row r="27" customFormat="false" ht="93.75" hidden="false" customHeight="true" outlineLevel="0" collapsed="false">
      <c r="B27" s="757" t="s">
        <v>2875</v>
      </c>
      <c r="C27" s="757"/>
      <c r="D27" s="757"/>
      <c r="E27" s="757"/>
      <c r="F27" s="757"/>
      <c r="G27" s="757"/>
      <c r="H27" s="757"/>
      <c r="I27" s="757"/>
      <c r="J27" s="757"/>
      <c r="K27" s="757"/>
      <c r="L27" s="757"/>
      <c r="M27" s="757"/>
    </row>
  </sheetData>
  <mergeCells count="22">
    <mergeCell ref="B2:J2"/>
    <mergeCell ref="K2:M2"/>
    <mergeCell ref="B3:M3"/>
    <mergeCell ref="B5:M5"/>
    <mergeCell ref="B6:M6"/>
    <mergeCell ref="B8:M8"/>
    <mergeCell ref="B10:M10"/>
    <mergeCell ref="B11:M11"/>
    <mergeCell ref="B13:M13"/>
    <mergeCell ref="B15:M15"/>
    <mergeCell ref="B16:M16"/>
    <mergeCell ref="B18:M18"/>
    <mergeCell ref="B20:M20"/>
    <mergeCell ref="D21:H21"/>
    <mergeCell ref="I21:M21"/>
    <mergeCell ref="D22:H22"/>
    <mergeCell ref="I22:M22"/>
    <mergeCell ref="D23:H23"/>
    <mergeCell ref="I23:M23"/>
    <mergeCell ref="D24:H24"/>
    <mergeCell ref="I24:M24"/>
    <mergeCell ref="B27:M27"/>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I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20"/>
    <col collapsed="false" customWidth="true" hidden="false" outlineLevel="0" max="5" min="4" style="0" width="9"/>
    <col collapsed="false" customWidth="true" hidden="false" outlineLevel="0" max="6" min="6" style="0" width="20"/>
    <col collapsed="false" customWidth="true" hidden="false" outlineLevel="0" max="7" min="7" style="0" width="28"/>
    <col collapsed="false" customWidth="true" hidden="false" outlineLevel="0" max="9" min="8" style="0" width="14"/>
  </cols>
  <sheetData>
    <row r="1" customFormat="false" ht="3.75" hidden="false" customHeight="true" outlineLevel="0" collapsed="false">
      <c r="B1" s="1"/>
      <c r="C1" s="2"/>
      <c r="D1" s="1"/>
      <c r="E1" s="1"/>
      <c r="F1" s="2"/>
      <c r="G1" s="2"/>
      <c r="H1" s="2"/>
      <c r="I1" s="2"/>
    </row>
    <row r="2" customFormat="false" ht="27.75" hidden="false" customHeight="true" outlineLevel="0" collapsed="false">
      <c r="B2" s="298" t="s">
        <v>2876</v>
      </c>
      <c r="C2" s="298"/>
      <c r="D2" s="298"/>
      <c r="E2" s="298"/>
      <c r="F2" s="298"/>
      <c r="G2" s="299" t="s">
        <v>995</v>
      </c>
      <c r="H2" s="299"/>
      <c r="I2" s="299"/>
    </row>
    <row r="3" customFormat="false" ht="36" hidden="false" customHeight="true" outlineLevel="0" collapsed="false">
      <c r="B3" s="757" t="s">
        <v>2877</v>
      </c>
      <c r="C3" s="757"/>
      <c r="D3" s="757"/>
      <c r="E3" s="757"/>
      <c r="F3" s="757"/>
      <c r="G3" s="757"/>
      <c r="H3" s="757"/>
      <c r="I3" s="757"/>
    </row>
    <row r="4" customFormat="false" ht="15" hidden="false" customHeight="true" outlineLevel="0" collapsed="false">
      <c r="B4" s="6"/>
      <c r="D4" s="6"/>
      <c r="E4" s="6"/>
    </row>
    <row r="5" customFormat="false" ht="24" hidden="false" customHeight="true" outlineLevel="0" collapsed="false">
      <c r="B5" s="3" t="s">
        <v>2878</v>
      </c>
      <c r="C5" s="3"/>
      <c r="D5" s="3"/>
      <c r="E5" s="3"/>
      <c r="F5" s="3"/>
      <c r="G5" s="3"/>
      <c r="H5" s="3"/>
      <c r="I5" s="3"/>
    </row>
    <row r="6" customFormat="false" ht="21.75" hidden="false" customHeight="true" outlineLevel="0" collapsed="false">
      <c r="B6" s="475" t="s">
        <v>1658</v>
      </c>
      <c r="C6" s="807" t="s">
        <v>86</v>
      </c>
      <c r="D6" s="807"/>
      <c r="E6" s="501" t="s">
        <v>2879</v>
      </c>
      <c r="F6" s="501"/>
      <c r="G6" s="807" t="s">
        <v>2880</v>
      </c>
      <c r="H6" s="807"/>
      <c r="I6" s="476" t="s">
        <v>669</v>
      </c>
    </row>
    <row r="7" customFormat="false" ht="51" hidden="false" customHeight="true" outlineLevel="0" collapsed="false">
      <c r="B7" s="44" t="s">
        <v>2881</v>
      </c>
      <c r="C7" s="808" t="s">
        <v>2882</v>
      </c>
      <c r="D7" s="808"/>
      <c r="E7" s="809" t="n">
        <v>4500000</v>
      </c>
      <c r="F7" s="809"/>
      <c r="G7" s="810" t="s">
        <v>2883</v>
      </c>
      <c r="H7" s="810"/>
      <c r="I7" s="811" t="s">
        <v>2884</v>
      </c>
    </row>
    <row r="8" customFormat="false" ht="81" hidden="false" customHeight="true" outlineLevel="0" collapsed="false">
      <c r="B8" s="44" t="s">
        <v>2885</v>
      </c>
      <c r="C8" s="808" t="s">
        <v>2886</v>
      </c>
      <c r="D8" s="808"/>
      <c r="E8" s="809" t="n">
        <v>350000</v>
      </c>
      <c r="F8" s="809"/>
      <c r="G8" s="810" t="s">
        <v>2887</v>
      </c>
      <c r="H8" s="810"/>
      <c r="I8" s="811" t="s">
        <v>2884</v>
      </c>
    </row>
    <row r="9" customFormat="false" ht="66" hidden="false" customHeight="true" outlineLevel="0" collapsed="false">
      <c r="B9" s="44" t="s">
        <v>2888</v>
      </c>
      <c r="C9" s="808" t="s">
        <v>2889</v>
      </c>
      <c r="D9" s="808"/>
      <c r="E9" s="809" t="n">
        <v>8500</v>
      </c>
      <c r="F9" s="809"/>
      <c r="G9" s="810" t="s">
        <v>2890</v>
      </c>
      <c r="H9" s="810"/>
      <c r="I9" s="811" t="s">
        <v>2884</v>
      </c>
    </row>
    <row r="10" customFormat="false" ht="81" hidden="false" customHeight="true" outlineLevel="0" collapsed="false">
      <c r="B10" s="44" t="s">
        <v>2891</v>
      </c>
      <c r="C10" s="808" t="s">
        <v>2892</v>
      </c>
      <c r="D10" s="808"/>
      <c r="E10" s="809" t="n">
        <v>2400000</v>
      </c>
      <c r="F10" s="809"/>
      <c r="G10" s="810" t="s">
        <v>2893</v>
      </c>
      <c r="H10" s="810"/>
      <c r="I10" s="811" t="s">
        <v>2884</v>
      </c>
    </row>
    <row r="11" customFormat="false" ht="51" hidden="false" customHeight="true" outlineLevel="0" collapsed="false">
      <c r="B11" s="44" t="s">
        <v>2894</v>
      </c>
      <c r="C11" s="808" t="s">
        <v>2895</v>
      </c>
      <c r="D11" s="808"/>
      <c r="E11" s="809" t="n">
        <v>850000</v>
      </c>
      <c r="F11" s="809"/>
      <c r="G11" s="810" t="s">
        <v>2896</v>
      </c>
      <c r="H11" s="810"/>
      <c r="I11" s="811" t="s">
        <v>2884</v>
      </c>
    </row>
    <row r="12" customFormat="false" ht="15" hidden="false" customHeight="true" outlineLevel="0" collapsed="false">
      <c r="B12" s="6"/>
      <c r="D12" s="6"/>
      <c r="E12" s="6"/>
    </row>
    <row r="13" customFormat="false" ht="15" hidden="false" customHeight="true" outlineLevel="0" collapsed="false">
      <c r="B13" s="6"/>
      <c r="D13" s="6"/>
      <c r="E13" s="6"/>
    </row>
    <row r="14" customFormat="false" ht="36" hidden="false" customHeight="true" outlineLevel="0" collapsed="false">
      <c r="B14" s="3" t="s">
        <v>2897</v>
      </c>
      <c r="C14" s="3"/>
      <c r="D14" s="3"/>
      <c r="E14" s="3"/>
      <c r="F14" s="3"/>
      <c r="G14" s="3"/>
      <c r="H14" s="3"/>
      <c r="I14" s="3"/>
    </row>
    <row r="15" customFormat="false" ht="21.75" hidden="false" customHeight="true" outlineLevel="0" collapsed="false">
      <c r="B15" s="812" t="s">
        <v>2898</v>
      </c>
      <c r="C15" s="812"/>
      <c r="D15" s="812"/>
      <c r="E15" s="812"/>
      <c r="F15" s="812"/>
      <c r="G15" s="812"/>
      <c r="H15" s="812"/>
      <c r="I15" s="812"/>
    </row>
    <row r="16" customFormat="false" ht="21.75" hidden="false" customHeight="true" outlineLevel="0" collapsed="false">
      <c r="B16" s="475" t="s">
        <v>84</v>
      </c>
      <c r="C16" s="502" t="s">
        <v>2899</v>
      </c>
      <c r="D16" s="502"/>
      <c r="E16" s="502"/>
      <c r="F16" s="502" t="s">
        <v>669</v>
      </c>
      <c r="G16" s="502"/>
      <c r="H16" s="502" t="s">
        <v>2900</v>
      </c>
      <c r="I16" s="502"/>
    </row>
    <row r="17" customFormat="false" ht="15" hidden="false" customHeight="true" outlineLevel="0" collapsed="false">
      <c r="B17" s="250" t="n">
        <v>1</v>
      </c>
      <c r="C17" s="742" t="s">
        <v>2901</v>
      </c>
      <c r="D17" s="742"/>
      <c r="E17" s="742"/>
      <c r="F17" s="813" t="s">
        <v>2902</v>
      </c>
      <c r="G17" s="813"/>
      <c r="H17" s="813" t="s">
        <v>2903</v>
      </c>
      <c r="I17" s="813"/>
    </row>
    <row r="18" customFormat="false" ht="15" hidden="false" customHeight="true" outlineLevel="0" collapsed="false">
      <c r="B18" s="250" t="n">
        <v>2</v>
      </c>
      <c r="C18" s="742" t="s">
        <v>2904</v>
      </c>
      <c r="D18" s="742"/>
      <c r="E18" s="742"/>
      <c r="F18" s="813" t="s">
        <v>2902</v>
      </c>
      <c r="G18" s="813"/>
      <c r="H18" s="813" t="s">
        <v>2903</v>
      </c>
      <c r="I18" s="813"/>
    </row>
    <row r="19" customFormat="false" ht="15" hidden="false" customHeight="true" outlineLevel="0" collapsed="false">
      <c r="B19" s="250" t="n">
        <v>3</v>
      </c>
      <c r="C19" s="742" t="s">
        <v>2905</v>
      </c>
      <c r="D19" s="742"/>
      <c r="E19" s="742"/>
      <c r="F19" s="813" t="s">
        <v>2902</v>
      </c>
      <c r="G19" s="813"/>
      <c r="H19" s="813" t="s">
        <v>2903</v>
      </c>
      <c r="I19" s="813"/>
    </row>
    <row r="20" customFormat="false" ht="15" hidden="false" customHeight="true" outlineLevel="0" collapsed="false">
      <c r="B20" s="250" t="n">
        <v>4</v>
      </c>
      <c r="C20" s="742" t="s">
        <v>2906</v>
      </c>
      <c r="D20" s="742"/>
      <c r="E20" s="742"/>
      <c r="F20" s="813" t="s">
        <v>2902</v>
      </c>
      <c r="G20" s="813"/>
      <c r="H20" s="813" t="s">
        <v>2903</v>
      </c>
      <c r="I20" s="813"/>
    </row>
    <row r="21" customFormat="false" ht="15" hidden="false" customHeight="true" outlineLevel="0" collapsed="false">
      <c r="B21" s="250" t="n">
        <v>5</v>
      </c>
      <c r="C21" s="742" t="s">
        <v>2907</v>
      </c>
      <c r="D21" s="742"/>
      <c r="E21" s="742"/>
      <c r="F21" s="813" t="s">
        <v>2902</v>
      </c>
      <c r="G21" s="813"/>
      <c r="H21" s="813" t="s">
        <v>2903</v>
      </c>
      <c r="I21" s="813"/>
    </row>
    <row r="22" customFormat="false" ht="15" hidden="false" customHeight="true" outlineLevel="0" collapsed="false">
      <c r="B22" s="6"/>
      <c r="D22" s="6"/>
      <c r="E22" s="6"/>
    </row>
    <row r="23" customFormat="false" ht="15" hidden="false" customHeight="true" outlineLevel="0" collapsed="false">
      <c r="B23" s="6"/>
      <c r="D23" s="6"/>
      <c r="E23" s="6"/>
    </row>
    <row r="24" customFormat="false" ht="21.75" hidden="false" customHeight="true" outlineLevel="0" collapsed="false">
      <c r="B24" s="812" t="s">
        <v>2908</v>
      </c>
      <c r="C24" s="812"/>
      <c r="D24" s="812"/>
      <c r="E24" s="812"/>
      <c r="F24" s="812"/>
      <c r="G24" s="812"/>
      <c r="H24" s="812"/>
      <c r="I24" s="812"/>
    </row>
    <row r="25" customFormat="false" ht="21.75" hidden="false" customHeight="true" outlineLevel="0" collapsed="false">
      <c r="B25" s="475" t="s">
        <v>84</v>
      </c>
      <c r="C25" s="502" t="s">
        <v>2909</v>
      </c>
      <c r="D25" s="502"/>
      <c r="E25" s="502"/>
      <c r="F25" s="502" t="s">
        <v>669</v>
      </c>
      <c r="G25" s="502"/>
      <c r="H25" s="502" t="s">
        <v>2910</v>
      </c>
      <c r="I25" s="502"/>
    </row>
    <row r="26" customFormat="false" ht="15" hidden="false" customHeight="true" outlineLevel="0" collapsed="false">
      <c r="B26" s="250" t="n">
        <v>1</v>
      </c>
      <c r="C26" s="742" t="s">
        <v>2911</v>
      </c>
      <c r="D26" s="742"/>
      <c r="E26" s="742"/>
      <c r="F26" s="813" t="s">
        <v>2902</v>
      </c>
      <c r="G26" s="813"/>
      <c r="H26" s="813" t="s">
        <v>2912</v>
      </c>
      <c r="I26" s="813"/>
    </row>
    <row r="27" customFormat="false" ht="15" hidden="false" customHeight="true" outlineLevel="0" collapsed="false">
      <c r="B27" s="250" t="n">
        <v>2</v>
      </c>
      <c r="C27" s="742" t="s">
        <v>2913</v>
      </c>
      <c r="D27" s="742"/>
      <c r="E27" s="742"/>
      <c r="F27" s="813" t="s">
        <v>2902</v>
      </c>
      <c r="G27" s="813"/>
      <c r="H27" s="813" t="s">
        <v>2912</v>
      </c>
      <c r="I27" s="813"/>
    </row>
    <row r="28" customFormat="false" ht="15" hidden="false" customHeight="true" outlineLevel="0" collapsed="false">
      <c r="B28" s="250" t="n">
        <v>3</v>
      </c>
      <c r="C28" s="742" t="s">
        <v>2914</v>
      </c>
      <c r="D28" s="742"/>
      <c r="E28" s="742"/>
      <c r="F28" s="813" t="s">
        <v>2902</v>
      </c>
      <c r="G28" s="813"/>
      <c r="H28" s="813" t="s">
        <v>2912</v>
      </c>
      <c r="I28" s="813"/>
    </row>
    <row r="29" customFormat="false" ht="15" hidden="false" customHeight="true" outlineLevel="0" collapsed="false">
      <c r="B29" s="250" t="n">
        <v>4</v>
      </c>
      <c r="C29" s="742" t="s">
        <v>2915</v>
      </c>
      <c r="D29" s="742"/>
      <c r="E29" s="742"/>
      <c r="F29" s="813" t="s">
        <v>2902</v>
      </c>
      <c r="G29" s="813"/>
      <c r="H29" s="813" t="s">
        <v>2912</v>
      </c>
      <c r="I29" s="813"/>
    </row>
    <row r="30" customFormat="false" ht="15" hidden="false" customHeight="true" outlineLevel="0" collapsed="false">
      <c r="B30" s="250" t="n">
        <v>5</v>
      </c>
      <c r="C30" s="742" t="s">
        <v>2916</v>
      </c>
      <c r="D30" s="742"/>
      <c r="E30" s="742"/>
      <c r="F30" s="813" t="s">
        <v>2902</v>
      </c>
      <c r="G30" s="813"/>
      <c r="H30" s="813" t="s">
        <v>2912</v>
      </c>
      <c r="I30" s="813"/>
    </row>
    <row r="31" customFormat="false" ht="15" hidden="false" customHeight="true" outlineLevel="0" collapsed="false">
      <c r="B31" s="6"/>
      <c r="D31" s="6"/>
      <c r="E31" s="6"/>
    </row>
    <row r="32" customFormat="false" ht="15" hidden="false" customHeight="true" outlineLevel="0" collapsed="false">
      <c r="B32" s="6"/>
      <c r="D32" s="6"/>
      <c r="E32" s="6"/>
    </row>
    <row r="33" customFormat="false" ht="33.75" hidden="false" customHeight="true" outlineLevel="0" collapsed="false">
      <c r="B33" s="812" t="s">
        <v>2917</v>
      </c>
      <c r="C33" s="812"/>
      <c r="D33" s="812"/>
      <c r="E33" s="812"/>
      <c r="F33" s="812"/>
      <c r="G33" s="812"/>
      <c r="H33" s="812"/>
      <c r="I33" s="812"/>
    </row>
    <row r="34" customFormat="false" ht="21.75" hidden="false" customHeight="true" outlineLevel="0" collapsed="false">
      <c r="B34" s="475" t="s">
        <v>84</v>
      </c>
      <c r="C34" s="502" t="s">
        <v>2918</v>
      </c>
      <c r="D34" s="502"/>
      <c r="E34" s="502"/>
      <c r="F34" s="502" t="s">
        <v>749</v>
      </c>
      <c r="G34" s="502"/>
      <c r="H34" s="502" t="s">
        <v>669</v>
      </c>
      <c r="I34" s="502"/>
    </row>
    <row r="35" customFormat="false" ht="15" hidden="false" customHeight="true" outlineLevel="0" collapsed="false">
      <c r="B35" s="250" t="n">
        <v>1</v>
      </c>
      <c r="C35" s="742" t="s">
        <v>2919</v>
      </c>
      <c r="D35" s="742"/>
      <c r="E35" s="742"/>
      <c r="F35" s="813" t="s">
        <v>2920</v>
      </c>
      <c r="G35" s="813"/>
      <c r="H35" s="813" t="s">
        <v>2921</v>
      </c>
      <c r="I35" s="813"/>
    </row>
    <row r="36" customFormat="false" ht="15" hidden="false" customHeight="true" outlineLevel="0" collapsed="false">
      <c r="B36" s="250" t="n">
        <v>2</v>
      </c>
      <c r="C36" s="742" t="s">
        <v>2922</v>
      </c>
      <c r="D36" s="742"/>
      <c r="E36" s="742"/>
      <c r="F36" s="813" t="s">
        <v>2920</v>
      </c>
      <c r="G36" s="813"/>
      <c r="H36" s="813" t="s">
        <v>2921</v>
      </c>
      <c r="I36" s="813"/>
    </row>
    <row r="37" customFormat="false" ht="15" hidden="false" customHeight="true" outlineLevel="0" collapsed="false">
      <c r="B37" s="250" t="n">
        <v>3</v>
      </c>
      <c r="C37" s="742" t="s">
        <v>2923</v>
      </c>
      <c r="D37" s="742"/>
      <c r="E37" s="742"/>
      <c r="F37" s="813" t="s">
        <v>2920</v>
      </c>
      <c r="G37" s="813"/>
      <c r="H37" s="813" t="s">
        <v>2921</v>
      </c>
      <c r="I37" s="813"/>
    </row>
    <row r="38" customFormat="false" ht="15" hidden="false" customHeight="true" outlineLevel="0" collapsed="false">
      <c r="B38" s="250" t="n">
        <v>4</v>
      </c>
      <c r="C38" s="742" t="s">
        <v>2924</v>
      </c>
      <c r="D38" s="742"/>
      <c r="E38" s="742"/>
      <c r="F38" s="813" t="s">
        <v>2920</v>
      </c>
      <c r="G38" s="813"/>
      <c r="H38" s="813" t="s">
        <v>2921</v>
      </c>
      <c r="I38" s="813"/>
    </row>
    <row r="39" customFormat="false" ht="15" hidden="false" customHeight="true" outlineLevel="0" collapsed="false">
      <c r="B39" s="250" t="n">
        <v>5</v>
      </c>
      <c r="C39" s="742" t="s">
        <v>2925</v>
      </c>
      <c r="D39" s="742"/>
      <c r="E39" s="742"/>
      <c r="F39" s="813" t="s">
        <v>2920</v>
      </c>
      <c r="G39" s="813"/>
      <c r="H39" s="813" t="s">
        <v>2921</v>
      </c>
      <c r="I39" s="813"/>
    </row>
    <row r="40" customFormat="false" ht="15" hidden="false" customHeight="true" outlineLevel="0" collapsed="false">
      <c r="B40" s="6"/>
      <c r="D40" s="6"/>
      <c r="E40" s="6"/>
    </row>
    <row r="41" customFormat="false" ht="15" hidden="false" customHeight="true" outlineLevel="0" collapsed="false">
      <c r="B41" s="6"/>
      <c r="D41" s="6"/>
      <c r="E41" s="6"/>
    </row>
    <row r="42" customFormat="false" ht="96" hidden="false" customHeight="true" outlineLevel="0" collapsed="false">
      <c r="B42" s="814" t="s">
        <v>2926</v>
      </c>
      <c r="C42" s="814"/>
      <c r="D42" s="814"/>
      <c r="E42" s="814"/>
      <c r="F42" s="814"/>
      <c r="G42" s="814"/>
      <c r="H42" s="814"/>
      <c r="I42" s="814"/>
    </row>
  </sheetData>
  <mergeCells count="81">
    <mergeCell ref="B2:F2"/>
    <mergeCell ref="G2:I2"/>
    <mergeCell ref="B3:I3"/>
    <mergeCell ref="B5:I5"/>
    <mergeCell ref="C6:D6"/>
    <mergeCell ref="E6:F6"/>
    <mergeCell ref="G6:H6"/>
    <mergeCell ref="C7:D7"/>
    <mergeCell ref="E7:F7"/>
    <mergeCell ref="G7:H7"/>
    <mergeCell ref="C8:D8"/>
    <mergeCell ref="E8:F8"/>
    <mergeCell ref="G8:H8"/>
    <mergeCell ref="C9:D9"/>
    <mergeCell ref="E9:F9"/>
    <mergeCell ref="G9:H9"/>
    <mergeCell ref="C10:D10"/>
    <mergeCell ref="E10:F10"/>
    <mergeCell ref="G10:H10"/>
    <mergeCell ref="C11:D11"/>
    <mergeCell ref="E11:F11"/>
    <mergeCell ref="G11:H11"/>
    <mergeCell ref="B14:I14"/>
    <mergeCell ref="B15:I15"/>
    <mergeCell ref="C16:E16"/>
    <mergeCell ref="F16:G16"/>
    <mergeCell ref="H16:I16"/>
    <mergeCell ref="C17:E17"/>
    <mergeCell ref="F17:G17"/>
    <mergeCell ref="H17:I17"/>
    <mergeCell ref="C18:E18"/>
    <mergeCell ref="F18:G18"/>
    <mergeCell ref="H18:I18"/>
    <mergeCell ref="C19:E19"/>
    <mergeCell ref="F19:G19"/>
    <mergeCell ref="H19:I19"/>
    <mergeCell ref="C20:E20"/>
    <mergeCell ref="F20:G20"/>
    <mergeCell ref="H20:I20"/>
    <mergeCell ref="C21:E21"/>
    <mergeCell ref="F21:G21"/>
    <mergeCell ref="H21:I21"/>
    <mergeCell ref="B24:I24"/>
    <mergeCell ref="C25:E25"/>
    <mergeCell ref="F25:G25"/>
    <mergeCell ref="H25:I25"/>
    <mergeCell ref="C26:E26"/>
    <mergeCell ref="F26:G26"/>
    <mergeCell ref="H26:I26"/>
    <mergeCell ref="C27:E27"/>
    <mergeCell ref="F27:G27"/>
    <mergeCell ref="H27:I27"/>
    <mergeCell ref="C28:E28"/>
    <mergeCell ref="F28:G28"/>
    <mergeCell ref="H28:I28"/>
    <mergeCell ref="C29:E29"/>
    <mergeCell ref="F29:G29"/>
    <mergeCell ref="H29:I29"/>
    <mergeCell ref="C30:E30"/>
    <mergeCell ref="F30:G30"/>
    <mergeCell ref="H30:I30"/>
    <mergeCell ref="B33:I33"/>
    <mergeCell ref="C34:E34"/>
    <mergeCell ref="F34:G34"/>
    <mergeCell ref="H34:I34"/>
    <mergeCell ref="C35:E35"/>
    <mergeCell ref="F35:G35"/>
    <mergeCell ref="H35:I35"/>
    <mergeCell ref="C36:E36"/>
    <mergeCell ref="F36:G36"/>
    <mergeCell ref="H36:I36"/>
    <mergeCell ref="C37:E37"/>
    <mergeCell ref="F37:G37"/>
    <mergeCell ref="H37:I37"/>
    <mergeCell ref="C38:E38"/>
    <mergeCell ref="F38:G38"/>
    <mergeCell ref="H38:I38"/>
    <mergeCell ref="C39:E39"/>
    <mergeCell ref="F39:G39"/>
    <mergeCell ref="H39:I39"/>
    <mergeCell ref="B42:I4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false"/>
  </sheetPr>
  <dimension ref="B1:I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9" min="3" style="0" width="9"/>
  </cols>
  <sheetData>
    <row r="1" customFormat="false" ht="3.75" hidden="false" customHeight="true" outlineLevel="0" collapsed="false">
      <c r="B1" s="1"/>
      <c r="C1" s="2"/>
      <c r="D1" s="2"/>
      <c r="E1" s="2"/>
      <c r="F1" s="1"/>
      <c r="G1" s="2"/>
      <c r="H1" s="2"/>
      <c r="I1" s="2"/>
    </row>
    <row r="2" customFormat="false" ht="27.75" hidden="false" customHeight="true" outlineLevel="0" collapsed="false">
      <c r="B2" s="298" t="s">
        <v>2927</v>
      </c>
      <c r="C2" s="298"/>
      <c r="D2" s="298"/>
      <c r="E2" s="298"/>
      <c r="F2" s="298"/>
      <c r="G2" s="299" t="s">
        <v>995</v>
      </c>
      <c r="H2" s="299"/>
      <c r="I2" s="299"/>
    </row>
    <row r="3" customFormat="false" ht="33.75" hidden="false" customHeight="true" outlineLevel="0" collapsed="false">
      <c r="B3" s="757" t="s">
        <v>2928</v>
      </c>
      <c r="C3" s="757"/>
      <c r="D3" s="757"/>
      <c r="E3" s="757"/>
      <c r="F3" s="757"/>
      <c r="G3" s="757"/>
      <c r="H3" s="757"/>
      <c r="I3" s="757"/>
    </row>
    <row r="4" customFormat="false" ht="15" hidden="false" customHeight="true" outlineLevel="0" collapsed="false">
      <c r="B4" s="6"/>
      <c r="F4" s="6"/>
    </row>
    <row r="5" customFormat="false" ht="24" hidden="false" customHeight="true" outlineLevel="0" collapsed="false">
      <c r="B5" s="3" t="s">
        <v>2929</v>
      </c>
      <c r="C5" s="3"/>
      <c r="D5" s="3"/>
      <c r="E5" s="3"/>
      <c r="F5" s="3"/>
      <c r="G5" s="3"/>
      <c r="H5" s="3"/>
      <c r="I5" s="3"/>
    </row>
    <row r="6" customFormat="false" ht="21.75" hidden="false" customHeight="true" outlineLevel="0" collapsed="false">
      <c r="B6" s="501" t="s">
        <v>752</v>
      </c>
      <c r="C6" s="501"/>
      <c r="D6" s="815" t="s">
        <v>2930</v>
      </c>
      <c r="E6" s="502" t="s">
        <v>2931</v>
      </c>
      <c r="F6" s="502"/>
      <c r="G6" s="502" t="s">
        <v>2932</v>
      </c>
      <c r="H6" s="502"/>
      <c r="I6" s="815" t="s">
        <v>2933</v>
      </c>
    </row>
    <row r="7" customFormat="false" ht="21.75" hidden="false" customHeight="true" outlineLevel="0" collapsed="false">
      <c r="B7" s="816" t="s">
        <v>2934</v>
      </c>
      <c r="C7" s="816"/>
      <c r="D7" s="816"/>
      <c r="E7" s="816"/>
      <c r="F7" s="816"/>
      <c r="G7" s="816"/>
      <c r="H7" s="816"/>
      <c r="I7" s="816"/>
    </row>
    <row r="8" customFormat="false" ht="21.75" hidden="false" customHeight="true" outlineLevel="0" collapsed="false">
      <c r="B8" s="45" t="s">
        <v>2935</v>
      </c>
      <c r="C8" s="45"/>
      <c r="D8" s="568" t="s">
        <v>2936</v>
      </c>
      <c r="E8" s="817" t="n">
        <f aca="false">52</f>
        <v>52</v>
      </c>
      <c r="F8" s="817"/>
      <c r="G8" s="818" t="n">
        <f aca="false">52*1500</f>
        <v>78000</v>
      </c>
      <c r="H8" s="818"/>
      <c r="I8" s="819" t="s">
        <v>1600</v>
      </c>
    </row>
    <row r="9" customFormat="false" ht="21.75" hidden="false" customHeight="true" outlineLevel="0" collapsed="false">
      <c r="B9" s="45" t="s">
        <v>2937</v>
      </c>
      <c r="C9" s="45"/>
      <c r="D9" s="568" t="s">
        <v>2936</v>
      </c>
      <c r="E9" s="817" t="n">
        <f aca="false">52</f>
        <v>52</v>
      </c>
      <c r="F9" s="817"/>
      <c r="G9" s="818" t="n">
        <f aca="false">52*2200</f>
        <v>114400</v>
      </c>
      <c r="H9" s="818"/>
      <c r="I9" s="819" t="s">
        <v>1600</v>
      </c>
    </row>
    <row r="10" customFormat="false" ht="21.75" hidden="false" customHeight="true" outlineLevel="0" collapsed="false">
      <c r="B10" s="45" t="s">
        <v>2938</v>
      </c>
      <c r="C10" s="45"/>
      <c r="D10" s="568" t="s">
        <v>2939</v>
      </c>
      <c r="E10" s="817" t="n">
        <f aca="false">40</f>
        <v>40</v>
      </c>
      <c r="F10" s="817"/>
      <c r="G10" s="818" t="n">
        <f aca="false">40*800</f>
        <v>32000</v>
      </c>
      <c r="H10" s="818"/>
      <c r="I10" s="819" t="s">
        <v>1600</v>
      </c>
    </row>
    <row r="11" customFormat="false" ht="21.75" hidden="false" customHeight="true" outlineLevel="0" collapsed="false">
      <c r="B11" s="816" t="s">
        <v>2940</v>
      </c>
      <c r="C11" s="816"/>
      <c r="D11" s="816"/>
      <c r="E11" s="816"/>
      <c r="F11" s="816"/>
      <c r="G11" s="816"/>
      <c r="H11" s="816"/>
      <c r="I11" s="816"/>
    </row>
    <row r="12" customFormat="false" ht="21.75" hidden="false" customHeight="true" outlineLevel="0" collapsed="false">
      <c r="B12" s="45" t="s">
        <v>2941</v>
      </c>
      <c r="C12" s="45"/>
      <c r="D12" s="568" t="s">
        <v>2942</v>
      </c>
      <c r="E12" s="817" t="n">
        <f aca="false">12</f>
        <v>12</v>
      </c>
      <c r="F12" s="817"/>
      <c r="G12" s="818" t="n">
        <f aca="false">12*8000</f>
        <v>96000</v>
      </c>
      <c r="H12" s="818"/>
      <c r="I12" s="819" t="s">
        <v>1600</v>
      </c>
    </row>
    <row r="13" customFormat="false" ht="21.75" hidden="false" customHeight="true" outlineLevel="0" collapsed="false">
      <c r="B13" s="45" t="s">
        <v>2943</v>
      </c>
      <c r="C13" s="45"/>
      <c r="D13" s="568" t="s">
        <v>2942</v>
      </c>
      <c r="E13" s="817" t="n">
        <f aca="false">12</f>
        <v>12</v>
      </c>
      <c r="F13" s="817"/>
      <c r="G13" s="818" t="n">
        <f aca="false">12*5500</f>
        <v>66000</v>
      </c>
      <c r="H13" s="818"/>
      <c r="I13" s="820" t="s">
        <v>1604</v>
      </c>
    </row>
    <row r="14" customFormat="false" ht="21.75" hidden="false" customHeight="true" outlineLevel="0" collapsed="false">
      <c r="B14" s="45" t="s">
        <v>2944</v>
      </c>
      <c r="C14" s="45"/>
      <c r="D14" s="568" t="s">
        <v>2945</v>
      </c>
      <c r="E14" s="817" t="n">
        <f aca="false">8</f>
        <v>8</v>
      </c>
      <c r="F14" s="817"/>
      <c r="G14" s="818" t="n">
        <f aca="false">8*4000</f>
        <v>32000</v>
      </c>
      <c r="H14" s="818"/>
      <c r="I14" s="820" t="s">
        <v>1604</v>
      </c>
    </row>
    <row r="15" customFormat="false" ht="21.75" hidden="false" customHeight="true" outlineLevel="0" collapsed="false">
      <c r="B15" s="816" t="s">
        <v>2946</v>
      </c>
      <c r="C15" s="816"/>
      <c r="D15" s="816"/>
      <c r="E15" s="816"/>
      <c r="F15" s="816"/>
      <c r="G15" s="816"/>
      <c r="H15" s="816"/>
      <c r="I15" s="816"/>
    </row>
    <row r="16" customFormat="false" ht="21.75" hidden="false" customHeight="true" outlineLevel="0" collapsed="false">
      <c r="B16" s="45" t="s">
        <v>2947</v>
      </c>
      <c r="C16" s="45"/>
      <c r="D16" s="568" t="n">
        <f aca="false">'Events · Drivers'!C29*12*'Events · Assumptions'!$C$50</f>
        <v>0</v>
      </c>
      <c r="E16" s="817" t="n">
        <f aca="false">'Events · Drivers'!C29*12*'Events · Assumptions'!$C$50</f>
        <v>0</v>
      </c>
      <c r="F16" s="817"/>
      <c r="G16" s="818" t="n">
        <f aca="false">'Events · Drivers'!C29*12*'Events · Assumptions'!$C$50*'Events · Drivers'!C36</f>
        <v>0</v>
      </c>
      <c r="H16" s="818"/>
      <c r="I16" s="820" t="s">
        <v>1604</v>
      </c>
    </row>
    <row r="17" customFormat="false" ht="21.75" hidden="false" customHeight="true" outlineLevel="0" collapsed="false">
      <c r="B17" s="45" t="s">
        <v>2948</v>
      </c>
      <c r="C17" s="45"/>
      <c r="D17" s="568" t="n">
        <f aca="false">'Events · Drivers'!C29*12*0.3</f>
        <v>0</v>
      </c>
      <c r="E17" s="817" t="n">
        <f aca="false">'Events · Drivers'!C29*12*0.3</f>
        <v>0</v>
      </c>
      <c r="F17" s="817"/>
      <c r="G17" s="818" t="n">
        <f aca="false">'Events · Drivers'!C29*12*0.3*'Events · Drivers'!C36</f>
        <v>0</v>
      </c>
      <c r="H17" s="818"/>
      <c r="I17" s="821" t="s">
        <v>2765</v>
      </c>
    </row>
    <row r="18" customFormat="false" ht="21.75" hidden="false" customHeight="true" outlineLevel="0" collapsed="false">
      <c r="B18" s="45" t="s">
        <v>2949</v>
      </c>
      <c r="C18" s="45"/>
      <c r="D18" s="568" t="n">
        <f aca="false">'Events · Drivers'!C29*12*0.2</f>
        <v>0</v>
      </c>
      <c r="E18" s="817" t="n">
        <f aca="false">'Events · Drivers'!C29*12*0.2</f>
        <v>0</v>
      </c>
      <c r="F18" s="817"/>
      <c r="G18" s="818" t="n">
        <f aca="false">'Events · Drivers'!C29*12*0.2*'Events · Drivers'!C36</f>
        <v>0</v>
      </c>
      <c r="H18" s="818"/>
      <c r="I18" s="821" t="s">
        <v>2765</v>
      </c>
    </row>
    <row r="19" customFormat="false" ht="15" hidden="false" customHeight="true" outlineLevel="0" collapsed="false">
      <c r="B19" s="6"/>
      <c r="F19" s="6"/>
    </row>
    <row r="20" customFormat="false" ht="15" hidden="false" customHeight="true" outlineLevel="0" collapsed="false">
      <c r="B20" s="6"/>
      <c r="F20" s="6"/>
    </row>
    <row r="21" customFormat="false" ht="108.75" hidden="false" customHeight="true" outlineLevel="0" collapsed="false">
      <c r="B21" s="814" t="s">
        <v>2950</v>
      </c>
      <c r="C21" s="814"/>
      <c r="D21" s="814"/>
      <c r="E21" s="814"/>
      <c r="F21" s="814"/>
      <c r="G21" s="814"/>
      <c r="H21" s="814"/>
      <c r="I21" s="814"/>
    </row>
  </sheetData>
  <mergeCells count="38">
    <mergeCell ref="B2:F2"/>
    <mergeCell ref="G2:I2"/>
    <mergeCell ref="B3:I3"/>
    <mergeCell ref="B5:I5"/>
    <mergeCell ref="B6:C6"/>
    <mergeCell ref="E6:F6"/>
    <mergeCell ref="G6:H6"/>
    <mergeCell ref="B7:I7"/>
    <mergeCell ref="B8:C8"/>
    <mergeCell ref="E8:F8"/>
    <mergeCell ref="G8:H8"/>
    <mergeCell ref="B9:C9"/>
    <mergeCell ref="E9:F9"/>
    <mergeCell ref="G9:H9"/>
    <mergeCell ref="B10:C10"/>
    <mergeCell ref="E10:F10"/>
    <mergeCell ref="G10:H10"/>
    <mergeCell ref="B11:I11"/>
    <mergeCell ref="B12:C12"/>
    <mergeCell ref="E12:F12"/>
    <mergeCell ref="G12:H12"/>
    <mergeCell ref="B13:C13"/>
    <mergeCell ref="E13:F13"/>
    <mergeCell ref="G13:H13"/>
    <mergeCell ref="B14:C14"/>
    <mergeCell ref="E14:F14"/>
    <mergeCell ref="G14:H14"/>
    <mergeCell ref="B15:I15"/>
    <mergeCell ref="B16:C16"/>
    <mergeCell ref="E16:F16"/>
    <mergeCell ref="G16:H16"/>
    <mergeCell ref="B17:C17"/>
    <mergeCell ref="E17:F17"/>
    <mergeCell ref="G17:H17"/>
    <mergeCell ref="B18:C18"/>
    <mergeCell ref="E18:F18"/>
    <mergeCell ref="G18:H18"/>
    <mergeCell ref="B21:I2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D9E3D"/>
    <pageSetUpPr fitToPage="false"/>
  </sheetPr>
  <dimension ref="B1:I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9" min="3" style="0" width="9"/>
  </cols>
  <sheetData>
    <row r="1" customFormat="false" ht="3.75" hidden="false" customHeight="true" outlineLevel="0" collapsed="false">
      <c r="B1" s="1"/>
      <c r="C1" s="2"/>
      <c r="D1" s="2"/>
      <c r="E1" s="2"/>
      <c r="F1" s="2"/>
      <c r="G1" s="1"/>
      <c r="H1" s="2"/>
      <c r="I1" s="2"/>
    </row>
    <row r="2" customFormat="false" ht="27.75" hidden="false" customHeight="true" outlineLevel="0" collapsed="false">
      <c r="B2" s="298" t="s">
        <v>2951</v>
      </c>
      <c r="C2" s="298"/>
      <c r="D2" s="298"/>
      <c r="E2" s="298"/>
      <c r="F2" s="298"/>
      <c r="G2" s="822" t="s">
        <v>995</v>
      </c>
      <c r="H2" s="822"/>
      <c r="I2" s="822"/>
    </row>
    <row r="3" customFormat="false" ht="33.75" hidden="false" customHeight="true" outlineLevel="0" collapsed="false">
      <c r="B3" s="757" t="s">
        <v>2952</v>
      </c>
      <c r="C3" s="757"/>
      <c r="D3" s="757"/>
      <c r="E3" s="757"/>
      <c r="F3" s="757"/>
      <c r="G3" s="757"/>
      <c r="H3" s="757"/>
      <c r="I3" s="757"/>
    </row>
    <row r="4" customFormat="false" ht="15" hidden="false" customHeight="true" outlineLevel="0" collapsed="false">
      <c r="B4" s="6"/>
      <c r="G4" s="6"/>
    </row>
    <row r="5" customFormat="false" ht="33.75" hidden="false" customHeight="true" outlineLevel="0" collapsed="false">
      <c r="B5" s="3" t="s">
        <v>2953</v>
      </c>
      <c r="C5" s="3"/>
      <c r="D5" s="3"/>
      <c r="E5" s="3"/>
      <c r="F5" s="3"/>
      <c r="G5" s="3"/>
      <c r="H5" s="3"/>
      <c r="I5" s="3"/>
    </row>
    <row r="6" customFormat="false" ht="21.75" hidden="false" customHeight="true" outlineLevel="0" collapsed="false">
      <c r="B6" s="501" t="s">
        <v>1527</v>
      </c>
      <c r="C6" s="501"/>
      <c r="D6" s="502" t="s">
        <v>2954</v>
      </c>
      <c r="E6" s="502"/>
      <c r="F6" s="502" t="s">
        <v>1684</v>
      </c>
      <c r="G6" s="502"/>
      <c r="H6" s="502" t="s">
        <v>2955</v>
      </c>
      <c r="I6" s="502"/>
    </row>
    <row r="7" customFormat="false" ht="31.5" hidden="false" customHeight="true" outlineLevel="0" collapsed="false">
      <c r="B7" s="304" t="s">
        <v>2956</v>
      </c>
      <c r="C7" s="304"/>
      <c r="D7" s="823" t="s">
        <v>2957</v>
      </c>
      <c r="E7" s="823"/>
      <c r="F7" s="824" t="n">
        <f aca="false">'F&amp;B · Drivers'!C32</f>
        <v>0.32</v>
      </c>
      <c r="G7" s="824"/>
      <c r="H7" s="825" t="n">
        <f aca="false">'Cross-Pillar'!E7</f>
        <v>117000</v>
      </c>
      <c r="I7" s="825"/>
    </row>
    <row r="8" customFormat="false" ht="31.5" hidden="false" customHeight="true" outlineLevel="0" collapsed="false">
      <c r="B8" s="304" t="s">
        <v>2958</v>
      </c>
      <c r="C8" s="304"/>
      <c r="D8" s="823" t="s">
        <v>2959</v>
      </c>
      <c r="E8" s="823"/>
      <c r="F8" s="824" t="s">
        <v>1690</v>
      </c>
      <c r="G8" s="824"/>
      <c r="H8" s="825" t="n">
        <f aca="false">'F&amp;B · Revenue'!E20</f>
        <v>237600</v>
      </c>
      <c r="I8" s="825"/>
    </row>
    <row r="9" customFormat="false" ht="31.5" hidden="false" customHeight="true" outlineLevel="0" collapsed="false">
      <c r="B9" s="304" t="s">
        <v>2960</v>
      </c>
      <c r="C9" s="304"/>
      <c r="D9" s="823" t="s">
        <v>2961</v>
      </c>
      <c r="E9" s="823"/>
      <c r="F9" s="824" t="s">
        <v>2962</v>
      </c>
      <c r="G9" s="824"/>
      <c r="H9" s="825" t="n">
        <f aca="false">15000*12</f>
        <v>180000</v>
      </c>
      <c r="I9" s="825"/>
    </row>
    <row r="10" customFormat="false" ht="31.5" hidden="false" customHeight="true" outlineLevel="0" collapsed="false">
      <c r="B10" s="304" t="s">
        <v>2963</v>
      </c>
      <c r="C10" s="304"/>
      <c r="D10" s="823" t="s">
        <v>2964</v>
      </c>
      <c r="E10" s="823"/>
      <c r="F10" s="824" t="n">
        <f aca="false">'Museum · Drivers'!C59</f>
        <v>0.4</v>
      </c>
      <c r="G10" s="824"/>
      <c r="H10" s="825" t="n">
        <f aca="false">'Museum · Drivers'!C61</f>
        <v>76625.28</v>
      </c>
      <c r="I10" s="825"/>
    </row>
    <row r="11" customFormat="false" ht="31.5" hidden="false" customHeight="true" outlineLevel="0" collapsed="false">
      <c r="B11" s="304" t="s">
        <v>2965</v>
      </c>
      <c r="C11" s="304"/>
      <c r="D11" s="823" t="s">
        <v>2966</v>
      </c>
      <c r="E11" s="823"/>
      <c r="F11" s="824" t="s">
        <v>2967</v>
      </c>
      <c r="G11" s="824"/>
      <c r="H11" s="825" t="n">
        <f aca="false">'Cross-Pillar'!E8</f>
        <v>117000</v>
      </c>
      <c r="I11" s="825"/>
    </row>
    <row r="12" customFormat="false" ht="15" hidden="false" customHeight="true" outlineLevel="0" collapsed="false">
      <c r="B12" s="6"/>
      <c r="G12" s="6"/>
    </row>
    <row r="13" customFormat="false" ht="15" hidden="false" customHeight="true" outlineLevel="0" collapsed="false">
      <c r="B13" s="6"/>
      <c r="G13" s="6"/>
    </row>
    <row r="14" customFormat="false" ht="33.75" hidden="false" customHeight="true" outlineLevel="0" collapsed="false">
      <c r="B14" s="27" t="s">
        <v>2968</v>
      </c>
      <c r="C14" s="27"/>
      <c r="D14" s="27"/>
      <c r="E14" s="27"/>
      <c r="F14" s="27"/>
      <c r="G14" s="27"/>
      <c r="H14" s="27"/>
      <c r="I14" s="27"/>
    </row>
    <row r="15" customFormat="false" ht="120" hidden="false" customHeight="true" outlineLevel="0" collapsed="false">
      <c r="B15" s="37" t="s">
        <v>2969</v>
      </c>
      <c r="C15" s="37"/>
      <c r="D15" s="37"/>
      <c r="E15" s="37"/>
      <c r="F15" s="37"/>
      <c r="G15" s="37"/>
      <c r="H15" s="37"/>
      <c r="I15" s="37"/>
    </row>
  </sheetData>
  <mergeCells count="30">
    <mergeCell ref="B2:F2"/>
    <mergeCell ref="G2:I2"/>
    <mergeCell ref="B3:I3"/>
    <mergeCell ref="B5:I5"/>
    <mergeCell ref="B6:C6"/>
    <mergeCell ref="D6:E6"/>
    <mergeCell ref="F6:G6"/>
    <mergeCell ref="H6:I6"/>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4:I14"/>
    <mergeCell ref="B15:I15"/>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false"/>
  </sheetPr>
  <dimension ref="B1:M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0" min="5" style="0" width="9"/>
    <col collapsed="false" customWidth="true" hidden="false" outlineLevel="0" max="11" min="11" style="0" width="18"/>
    <col collapsed="false" customWidth="true" hidden="false" outlineLevel="0" max="13" min="12" style="0" width="9"/>
  </cols>
  <sheetData>
    <row r="1" customFormat="false" ht="3.75" hidden="false" customHeight="true" outlineLevel="0" collapsed="false">
      <c r="B1" s="1"/>
      <c r="C1" s="2"/>
      <c r="D1" s="2"/>
      <c r="E1" s="2"/>
      <c r="F1" s="2"/>
      <c r="G1" s="1"/>
      <c r="H1" s="2"/>
      <c r="I1" s="2"/>
      <c r="J1" s="2"/>
      <c r="K1" s="2"/>
      <c r="L1" s="2"/>
      <c r="M1" s="2"/>
    </row>
    <row r="2" customFormat="false" ht="30" hidden="false" customHeight="true" outlineLevel="0" collapsed="false">
      <c r="B2" s="298" t="s">
        <v>2970</v>
      </c>
      <c r="C2" s="298"/>
      <c r="D2" s="298"/>
      <c r="E2" s="298"/>
      <c r="F2" s="298"/>
      <c r="G2" s="298"/>
      <c r="H2" s="298"/>
      <c r="I2" s="298"/>
      <c r="J2" s="298"/>
      <c r="K2" s="299" t="s">
        <v>995</v>
      </c>
      <c r="L2" s="299"/>
      <c r="M2" s="299"/>
    </row>
    <row r="3" customFormat="false" ht="33.75" hidden="false" customHeight="true" outlineLevel="0" collapsed="false">
      <c r="B3" s="757" t="s">
        <v>2971</v>
      </c>
      <c r="C3" s="757"/>
      <c r="D3" s="757"/>
      <c r="E3" s="757"/>
      <c r="F3" s="757"/>
      <c r="G3" s="757"/>
      <c r="H3" s="757"/>
      <c r="I3" s="757"/>
      <c r="J3" s="757"/>
      <c r="K3" s="757"/>
      <c r="L3" s="757"/>
      <c r="M3" s="757"/>
    </row>
    <row r="4" customFormat="false" ht="15" hidden="false" customHeight="true" outlineLevel="0" collapsed="false">
      <c r="B4" s="6"/>
      <c r="G4" s="6"/>
    </row>
    <row r="5" customFormat="false" ht="24" hidden="false" customHeight="true" outlineLevel="0" collapsed="false">
      <c r="B5" s="3" t="s">
        <v>2972</v>
      </c>
      <c r="C5" s="3"/>
      <c r="D5" s="3"/>
      <c r="E5" s="3"/>
      <c r="F5" s="3"/>
      <c r="G5" s="3"/>
      <c r="H5" s="3"/>
      <c r="I5" s="3"/>
      <c r="J5" s="3"/>
      <c r="K5" s="3"/>
      <c r="L5" s="3"/>
      <c r="M5" s="3"/>
    </row>
    <row r="6" customFormat="false" ht="24" hidden="false" customHeight="true" outlineLevel="0" collapsed="false">
      <c r="B6" s="797" t="s">
        <v>666</v>
      </c>
      <c r="C6" s="798" t="s">
        <v>393</v>
      </c>
      <c r="D6" s="798" t="s">
        <v>1658</v>
      </c>
      <c r="G6" s="6"/>
    </row>
    <row r="7" customFormat="false" ht="30" hidden="false" customHeight="true" outlineLevel="0" collapsed="false">
      <c r="B7" s="49" t="s">
        <v>2973</v>
      </c>
      <c r="C7" s="826" t="n">
        <f aca="false">'Academy · Drivers'!C60</f>
        <v>195</v>
      </c>
      <c r="D7" s="799" t="s">
        <v>2974</v>
      </c>
      <c r="G7" s="6"/>
    </row>
    <row r="8" customFormat="false" ht="30" hidden="false" customHeight="true" outlineLevel="0" collapsed="false">
      <c r="B8" s="49" t="s">
        <v>2975</v>
      </c>
      <c r="C8" s="826" t="n">
        <f aca="false">'Academy · Drivers'!C55</f>
        <v>8</v>
      </c>
      <c r="D8" s="799" t="s">
        <v>2976</v>
      </c>
      <c r="G8" s="6"/>
    </row>
    <row r="9" customFormat="false" ht="30" hidden="false" customHeight="true" outlineLevel="0" collapsed="false">
      <c r="B9" s="49" t="s">
        <v>2977</v>
      </c>
      <c r="C9" s="826" t="n">
        <f aca="false">'Academy · Drivers'!C56</f>
        <v>1560</v>
      </c>
      <c r="D9" s="799" t="s">
        <v>2978</v>
      </c>
      <c r="G9" s="6"/>
    </row>
    <row r="10" customFormat="false" ht="30" hidden="false" customHeight="true" outlineLevel="0" collapsed="false">
      <c r="B10" s="49" t="s">
        <v>2979</v>
      </c>
      <c r="C10" s="800" t="n">
        <f aca="false">'Academy · Drivers'!C26</f>
        <v>135</v>
      </c>
      <c r="D10" s="799" t="s">
        <v>2980</v>
      </c>
      <c r="G10" s="6"/>
    </row>
    <row r="11" customFormat="false" ht="30" hidden="false" customHeight="true" outlineLevel="0" collapsed="false">
      <c r="B11" s="49" t="s">
        <v>2981</v>
      </c>
      <c r="C11" s="800" t="n">
        <f aca="false">'Academy · Revenue'!E17*0.78</f>
        <v>1244154.6</v>
      </c>
      <c r="D11" s="799" t="s">
        <v>2982</v>
      </c>
      <c r="G11" s="6"/>
    </row>
    <row r="12" customFormat="false" ht="15" hidden="false" customHeight="true" outlineLevel="0" collapsed="false">
      <c r="B12" s="6"/>
      <c r="G12" s="6"/>
    </row>
    <row r="13" customFormat="false" ht="15" hidden="false" customHeight="true" outlineLevel="0" collapsed="false">
      <c r="B13" s="6"/>
      <c r="G13" s="6"/>
    </row>
    <row r="14" customFormat="false" ht="24" hidden="false" customHeight="true" outlineLevel="0" collapsed="false">
      <c r="B14" s="3" t="s">
        <v>2983</v>
      </c>
      <c r="C14" s="3"/>
      <c r="D14" s="3"/>
      <c r="E14" s="3"/>
      <c r="F14" s="3"/>
      <c r="G14" s="3"/>
      <c r="H14" s="3"/>
      <c r="I14" s="3"/>
      <c r="J14" s="3"/>
      <c r="K14" s="3"/>
      <c r="L14" s="3"/>
      <c r="M14" s="3"/>
    </row>
    <row r="15" customFormat="false" ht="33.75" hidden="false" customHeight="true" outlineLevel="0" collapsed="false">
      <c r="B15" s="45" t="s">
        <v>2984</v>
      </c>
      <c r="C15" s="45"/>
      <c r="D15" s="45"/>
      <c r="E15" s="45"/>
      <c r="F15" s="45"/>
      <c r="G15" s="45"/>
      <c r="H15" s="45"/>
      <c r="I15" s="45"/>
      <c r="J15" s="45"/>
      <c r="K15" s="45"/>
      <c r="L15" s="45"/>
      <c r="M15" s="45"/>
    </row>
    <row r="16" customFormat="false" ht="33.75" hidden="false" customHeight="true" outlineLevel="0" collapsed="false">
      <c r="B16" s="323" t="s">
        <v>2985</v>
      </c>
      <c r="C16" s="323"/>
      <c r="D16" s="323"/>
      <c r="E16" s="323"/>
      <c r="F16" s="323"/>
      <c r="G16" s="323"/>
      <c r="H16" s="323"/>
      <c r="I16" s="323"/>
      <c r="J16" s="323"/>
      <c r="K16" s="323"/>
      <c r="L16" s="323"/>
      <c r="M16" s="323"/>
    </row>
    <row r="17" customFormat="false" ht="15" hidden="false" customHeight="true" outlineLevel="0" collapsed="false">
      <c r="B17" s="6"/>
      <c r="G17" s="6"/>
    </row>
    <row r="18" customFormat="false" ht="33.75" hidden="false" customHeight="true" outlineLevel="0" collapsed="false">
      <c r="B18" s="3" t="s">
        <v>2986</v>
      </c>
      <c r="C18" s="3"/>
      <c r="D18" s="3"/>
      <c r="E18" s="3"/>
      <c r="F18" s="3"/>
      <c r="G18" s="3"/>
      <c r="H18" s="3"/>
      <c r="I18" s="3"/>
      <c r="J18" s="3"/>
      <c r="K18" s="3"/>
      <c r="L18" s="3"/>
      <c r="M18" s="3"/>
    </row>
    <row r="19" customFormat="false" ht="24" hidden="false" customHeight="true" outlineLevel="0" collapsed="false">
      <c r="B19" s="797" t="s">
        <v>666</v>
      </c>
      <c r="C19" s="798" t="s">
        <v>2987</v>
      </c>
      <c r="D19" s="798" t="s">
        <v>1658</v>
      </c>
      <c r="G19" s="6"/>
    </row>
    <row r="20" customFormat="false" ht="30" hidden="false" customHeight="true" outlineLevel="0" collapsed="false">
      <c r="B20" s="49" t="s">
        <v>2988</v>
      </c>
      <c r="C20" s="827" t="n">
        <f aca="false">'Academy · Drivers'!C30</f>
        <v>20</v>
      </c>
      <c r="D20" s="799" t="s">
        <v>2989</v>
      </c>
      <c r="G20" s="6"/>
    </row>
    <row r="21" customFormat="false" ht="30" hidden="false" customHeight="true" outlineLevel="0" collapsed="false">
      <c r="B21" s="49" t="s">
        <v>2990</v>
      </c>
      <c r="C21" s="826" t="n">
        <f aca="false">'Academy · Drivers'!C160</f>
        <v>10.92</v>
      </c>
      <c r="D21" s="799" t="s">
        <v>2991</v>
      </c>
      <c r="G21" s="6"/>
    </row>
    <row r="22" customFormat="false" ht="30" hidden="false" customHeight="true" outlineLevel="0" collapsed="false">
      <c r="B22" s="49" t="s">
        <v>2992</v>
      </c>
      <c r="C22" s="800" t="n">
        <f aca="false">'Academy · Drivers'!C31</f>
        <v>3700</v>
      </c>
      <c r="D22" s="799" t="s">
        <v>2993</v>
      </c>
      <c r="G22" s="6"/>
    </row>
    <row r="23" customFormat="false" ht="30" hidden="false" customHeight="true" outlineLevel="0" collapsed="false">
      <c r="B23" s="49" t="s">
        <v>2994</v>
      </c>
      <c r="C23" s="799" t="s">
        <v>2995</v>
      </c>
      <c r="D23" s="799" t="s">
        <v>2996</v>
      </c>
      <c r="G23" s="6"/>
    </row>
    <row r="24" customFormat="false" ht="30" hidden="false" customHeight="true" outlineLevel="0" collapsed="false">
      <c r="B24" s="49" t="s">
        <v>2997</v>
      </c>
      <c r="C24" s="799" t="s">
        <v>2995</v>
      </c>
      <c r="D24" s="799" t="s">
        <v>2998</v>
      </c>
      <c r="G24" s="6"/>
    </row>
    <row r="25" customFormat="false" ht="15" hidden="false" customHeight="true" outlineLevel="0" collapsed="false">
      <c r="B25" s="6"/>
      <c r="G25" s="6"/>
    </row>
    <row r="26" customFormat="false" ht="15" hidden="false" customHeight="true" outlineLevel="0" collapsed="false">
      <c r="B26" s="6"/>
      <c r="G26" s="6"/>
    </row>
    <row r="27" customFormat="false" ht="120" hidden="false" customHeight="true" outlineLevel="0" collapsed="false">
      <c r="B27" s="828" t="str">
        <f aca="false">"⊙ KEY RULE: Per current Academy model: B2B Corporate Training $"&amp;TEXT('Academy · Revenue'!E9/1000,"0")&amp;"K = "&amp;TEXT('Academy · Revenue'!E9/'Academy · Revenue'!E17,"0%")&amp;" of Academy $"&amp;TEXT('Academy · Revenue'!E17/1000,"0")&amp;"K total. "&amp;"B2C streams (Core+Lab+Coworking+Pods+Camps+Schools) = $"&amp;TEXT(('Academy · Revenue'!E7+'Academy · Revenue'!E8+'Academy · Revenue'!E10+'Academy · Revenue'!E11+'Academy · Revenue'!E14+'Academy · Revenue'!E15)/1000,"0")&amp;"K. "&amp;"Academy is now B2B-anchored (corp training dominant). Mitigation if B2B underperforms: school B2B push + camp/cohort scaling."</f>
        <v>⊙ KEY RULE: Per current Academy model: B2B Corporate Training $888K = 56% of Academy $1595K total. B2C streams (Core+Lab+Coworking+Pods+Camps+Schools) = $534K. Academy is now B2B-anchored (corp training dominant). Mitigation if B2B underperforms: school B2B push + camp/cohort scaling.</v>
      </c>
      <c r="G27" s="6"/>
    </row>
  </sheetData>
  <mergeCells count="8">
    <mergeCell ref="B2:J2"/>
    <mergeCell ref="K2:M2"/>
    <mergeCell ref="B3:M3"/>
    <mergeCell ref="B5:M5"/>
    <mergeCell ref="B14:M14"/>
    <mergeCell ref="B15:M15"/>
    <mergeCell ref="B16:M16"/>
    <mergeCell ref="B18:M18"/>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A94A"/>
    <pageSetUpPr fitToPage="false"/>
  </sheetPr>
  <dimension ref="B1:M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7"/>
    <col collapsed="false" customWidth="true" hidden="false" outlineLevel="0" max="6" min="6" style="0" width="20"/>
    <col collapsed="false" customWidth="true" hidden="false" outlineLevel="0" max="10" min="7" style="0" width="9"/>
    <col collapsed="false" customWidth="true" hidden="false" outlineLevel="0" max="11" min="11" style="0" width="18"/>
    <col collapsed="false" customWidth="true" hidden="false" outlineLevel="0" max="13" min="12" style="0" width="9"/>
  </cols>
  <sheetData>
    <row r="1" customFormat="false" ht="3.75" hidden="false" customHeight="true" outlineLevel="0" collapsed="false">
      <c r="B1" s="1"/>
      <c r="C1" s="2"/>
      <c r="D1" s="2"/>
      <c r="E1" s="2"/>
      <c r="F1" s="1"/>
      <c r="G1" s="2"/>
      <c r="H1" s="2"/>
      <c r="I1" s="2"/>
      <c r="J1" s="2"/>
      <c r="K1" s="2"/>
      <c r="L1" s="2"/>
      <c r="M1" s="2"/>
    </row>
    <row r="2" customFormat="false" ht="30" hidden="false" customHeight="true" outlineLevel="0" collapsed="false">
      <c r="B2" s="298" t="s">
        <v>2999</v>
      </c>
      <c r="C2" s="298"/>
      <c r="D2" s="298"/>
      <c r="E2" s="298"/>
      <c r="F2" s="298"/>
      <c r="G2" s="298"/>
      <c r="H2" s="298"/>
      <c r="I2" s="298"/>
      <c r="J2" s="298"/>
      <c r="K2" s="299" t="s">
        <v>995</v>
      </c>
      <c r="L2" s="299"/>
      <c r="M2" s="299"/>
    </row>
    <row r="3" customFormat="false" ht="48.75" hidden="false" customHeight="true" outlineLevel="0" collapsed="false">
      <c r="B3" s="757" t="s">
        <v>3000</v>
      </c>
      <c r="C3" s="757"/>
      <c r="D3" s="757"/>
      <c r="E3" s="757"/>
      <c r="F3" s="757"/>
      <c r="G3" s="757"/>
      <c r="H3" s="757"/>
      <c r="I3" s="757"/>
      <c r="J3" s="757"/>
      <c r="K3" s="757"/>
      <c r="L3" s="757"/>
      <c r="M3" s="757"/>
    </row>
    <row r="4" customFormat="false" ht="15" hidden="false" customHeight="true" outlineLevel="0" collapsed="false">
      <c r="B4" s="6"/>
      <c r="F4" s="6"/>
    </row>
    <row r="5" customFormat="false" ht="33.75" hidden="false" customHeight="true" outlineLevel="0" collapsed="false">
      <c r="B5" s="3" t="s">
        <v>3001</v>
      </c>
      <c r="C5" s="3"/>
      <c r="D5" s="3"/>
      <c r="E5" s="3"/>
      <c r="F5" s="3"/>
      <c r="G5" s="3"/>
      <c r="H5" s="3"/>
      <c r="I5" s="3"/>
      <c r="J5" s="3"/>
      <c r="K5" s="3"/>
      <c r="L5" s="3"/>
      <c r="M5" s="3"/>
    </row>
    <row r="6" customFormat="false" ht="24" hidden="false" customHeight="true" outlineLevel="0" collapsed="false">
      <c r="B6" s="797" t="s">
        <v>3002</v>
      </c>
      <c r="C6" s="798" t="s">
        <v>3003</v>
      </c>
      <c r="D6" s="798" t="s">
        <v>137</v>
      </c>
      <c r="E6" s="798" t="s">
        <v>3004</v>
      </c>
      <c r="F6" s="797" t="s">
        <v>3005</v>
      </c>
    </row>
    <row r="7" customFormat="false" ht="30" hidden="false" customHeight="true" outlineLevel="0" collapsed="false">
      <c r="B7" s="44" t="s">
        <v>3006</v>
      </c>
      <c r="C7" s="829" t="s">
        <v>3007</v>
      </c>
      <c r="D7" s="830" t="n">
        <f aca="false">'Sponsorships · Drivers'!C45</f>
        <v>49500</v>
      </c>
      <c r="E7" s="831" t="n">
        <f aca="false">'Sponsorships · Drivers'!C28</f>
        <v>1</v>
      </c>
      <c r="F7" s="832" t="s">
        <v>3008</v>
      </c>
    </row>
    <row r="8" customFormat="false" ht="30" hidden="false" customHeight="true" outlineLevel="0" collapsed="false">
      <c r="B8" s="44" t="s">
        <v>3009</v>
      </c>
      <c r="C8" s="829" t="s">
        <v>3010</v>
      </c>
      <c r="D8" s="830" t="n">
        <f aca="false">'Sponsorships · Drivers'!C46</f>
        <v>79500</v>
      </c>
      <c r="E8" s="831" t="n">
        <f aca="false">'Sponsorships · Drivers'!C31</f>
        <v>3</v>
      </c>
      <c r="F8" s="49" t="s">
        <v>3011</v>
      </c>
    </row>
    <row r="9" customFormat="false" ht="30" hidden="false" customHeight="true" outlineLevel="0" collapsed="false">
      <c r="B9" s="44" t="s">
        <v>3012</v>
      </c>
      <c r="C9" s="829" t="s">
        <v>3013</v>
      </c>
      <c r="D9" s="830" t="n">
        <f aca="false">'Sponsorships · Drivers'!C47</f>
        <v>58000</v>
      </c>
      <c r="E9" s="831" t="n">
        <f aca="false">'Sponsorships · Drivers'!C34</f>
        <v>5</v>
      </c>
      <c r="F9" s="49" t="s">
        <v>3014</v>
      </c>
    </row>
    <row r="10" customFormat="false" ht="30" hidden="false" customHeight="true" outlineLevel="0" collapsed="false">
      <c r="B10" s="44" t="s">
        <v>3015</v>
      </c>
      <c r="C10" s="829" t="s">
        <v>3016</v>
      </c>
      <c r="D10" s="830" t="n">
        <f aca="false">'Sponsorships · Drivers'!C48</f>
        <v>48000</v>
      </c>
      <c r="E10" s="831" t="n">
        <f aca="false">'Sponsorships · Drivers'!C37</f>
        <v>8</v>
      </c>
      <c r="F10" s="49" t="s">
        <v>3017</v>
      </c>
    </row>
    <row r="11" customFormat="false" ht="30" hidden="false" customHeight="true" outlineLevel="0" collapsed="false">
      <c r="B11" s="44" t="s">
        <v>3018</v>
      </c>
      <c r="C11" s="829" t="s">
        <v>3019</v>
      </c>
      <c r="D11" s="830" t="n">
        <f aca="false">'Sponsorships · Drivers'!C49</f>
        <v>52000</v>
      </c>
      <c r="E11" s="831" t="n">
        <f aca="false">'Sponsorships · Drivers'!C40</f>
        <v>2</v>
      </c>
      <c r="F11" s="49" t="s">
        <v>3020</v>
      </c>
    </row>
    <row r="12" customFormat="false" ht="15" hidden="false" customHeight="true" outlineLevel="0" collapsed="false">
      <c r="B12" s="3" t="s">
        <v>3021</v>
      </c>
      <c r="C12" s="3"/>
      <c r="D12" s="833" t="n">
        <f aca="false">'Sponsorships · Revenue'!E27</f>
        <v>287000</v>
      </c>
      <c r="E12" s="485"/>
      <c r="F12" s="523"/>
    </row>
    <row r="13" customFormat="false" ht="15" hidden="false" customHeight="true" outlineLevel="0" collapsed="false">
      <c r="B13" s="6"/>
      <c r="F13" s="6"/>
    </row>
    <row r="14" customFormat="false" ht="15" hidden="false" customHeight="true" outlineLevel="0" collapsed="false">
      <c r="B14" s="6"/>
      <c r="F14" s="6"/>
    </row>
    <row r="15" customFormat="false" ht="120" hidden="false" customHeight="true" outlineLevel="0" collapsed="false">
      <c r="B15" s="757" t="str">
        <f aca="false">"⊙ KEY POINT: Base case $"&amp;TEXT('Sponsorships · Revenue'!E27/1000,"0")&amp;"K is probability-weighted. Title Sponsor $"&amp;TEXT('Sponsorships · Revenue'!E8/1000,"0")&amp;"K = "&amp;TEXT('Sponsorships · Revenue'!E8/'Sponsorships · Revenue'!E27,"0%")&amp;" of pillar. Diversified streams (Zone+Event+Activations) = $"&amp;TEXT(('Sponsorships · Revenue'!E13+'Sponsorships · Revenue'!E18+'Sponsorships · Revenue'!E24)/1000,"0")&amp;"K = "&amp;TEXT(('Sponsorships · Revenue'!E13+'Sponsorships · Revenue'!E18+'Sponsorships · Revenue'!E24)/'Sponsorships · Revenue'!E27,"0%")&amp;" of pillar. If Title falls through, pillar still delivers $"&amp;TEXT(('Sponsorships · Revenue'!E13+'Sponsorships · Revenue'!E18+'Sponsorships · Revenue'!E24)/1000,"0")&amp;"K from diversified base."</f>
        <v>⊙ KEY POINT: Base case $287K is probability-weighted. Title Sponsor $50K = 17% of pillar. Diversified streams (Zone+Event+Activations) = $238K = 83% of pillar. If Title falls through, pillar still delivers $238K from diversified base.</v>
      </c>
      <c r="C15" s="757"/>
      <c r="D15" s="757"/>
      <c r="E15" s="757"/>
      <c r="F15" s="757"/>
      <c r="G15" s="757"/>
      <c r="H15" s="757"/>
      <c r="I15" s="757"/>
      <c r="J15" s="757"/>
      <c r="K15" s="757"/>
      <c r="L15" s="757"/>
      <c r="M15" s="757"/>
    </row>
  </sheetData>
  <mergeCells count="6">
    <mergeCell ref="B2:J2"/>
    <mergeCell ref="K2:M2"/>
    <mergeCell ref="B3:M3"/>
    <mergeCell ref="B5:M5"/>
    <mergeCell ref="B12:C12"/>
    <mergeCell ref="B15:M15"/>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6" topLeftCell="B7" activePane="bottomRight" state="frozen"/>
      <selection pane="topLeft" activeCell="A1" activeCellId="0" sqref="A1"/>
      <selection pane="topRight" activeCell="B1" activeCellId="0" sqref="B1"/>
      <selection pane="bottomLeft" activeCell="A7" activeCellId="0" sqref="A7"/>
      <selection pane="bottomRight" activeCell="B105" activeCellId="0" sqref="B105"/>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57"/>
    <col collapsed="false" customWidth="true" hidden="false" outlineLevel="0" max="3" min="3" style="0" width="14"/>
    <col collapsed="false" customWidth="true" hidden="false" outlineLevel="0" max="4" min="4" style="0" width="49.67"/>
    <col collapsed="false" customWidth="true" hidden="false" outlineLevel="0" max="5" min="5" style="0" width="46.5"/>
    <col collapsed="false" customWidth="true" hidden="false" outlineLevel="0" max="6" min="6" style="0" width="18"/>
  </cols>
  <sheetData>
    <row r="1" customFormat="false" ht="15" hidden="false" customHeight="true" outlineLevel="0" collapsed="false">
      <c r="B1" s="6"/>
      <c r="D1" s="6"/>
      <c r="F1" s="6"/>
    </row>
    <row r="2" customFormat="false" ht="36" hidden="false" customHeight="true" outlineLevel="0" collapsed="false">
      <c r="B2" s="178" t="s">
        <v>389</v>
      </c>
      <c r="D2" s="6"/>
      <c r="F2" s="6"/>
    </row>
    <row r="3" customFormat="false" ht="51" hidden="false" customHeight="true" outlineLevel="0" collapsed="false">
      <c r="B3" s="165" t="s">
        <v>390</v>
      </c>
      <c r="D3" s="6"/>
      <c r="F3" s="6"/>
    </row>
    <row r="4" customFormat="false" ht="15" hidden="false" customHeight="true" outlineLevel="0" collapsed="false">
      <c r="B4" s="6"/>
      <c r="D4" s="6"/>
      <c r="F4" s="6"/>
    </row>
    <row r="5" customFormat="false" ht="15" hidden="false" customHeight="true" outlineLevel="0" collapsed="false">
      <c r="B5" s="179" t="s">
        <v>391</v>
      </c>
      <c r="D5" s="6"/>
      <c r="F5" s="6"/>
    </row>
    <row r="6" customFormat="false" ht="15" hidden="false" customHeight="true" outlineLevel="0" collapsed="false">
      <c r="B6" s="6"/>
      <c r="D6" s="6"/>
      <c r="F6" s="6"/>
    </row>
    <row r="7" customFormat="false" ht="15" hidden="false" customHeight="true" outlineLevel="0" collapsed="false">
      <c r="B7" s="180" t="s">
        <v>392</v>
      </c>
      <c r="C7" s="181" t="s">
        <v>393</v>
      </c>
      <c r="D7" s="180" t="s">
        <v>394</v>
      </c>
      <c r="E7" s="181" t="s">
        <v>395</v>
      </c>
      <c r="F7" s="180" t="s">
        <v>396</v>
      </c>
    </row>
    <row r="8" customFormat="false" ht="15" hidden="false" customHeight="true" outlineLevel="0" collapsed="false">
      <c r="B8" s="6" t="s">
        <v>397</v>
      </c>
      <c r="C8" s="182" t="n">
        <v>0.03</v>
      </c>
      <c r="D8" s="6" t="s">
        <v>398</v>
      </c>
      <c r="E8" s="0" t="s">
        <v>399</v>
      </c>
      <c r="F8" s="183" t="s">
        <v>400</v>
      </c>
    </row>
    <row r="9" customFormat="false" ht="15" hidden="false" customHeight="true" outlineLevel="0" collapsed="false">
      <c r="B9" s="6" t="s">
        <v>401</v>
      </c>
      <c r="C9" s="182" t="n">
        <v>0.04</v>
      </c>
      <c r="D9" s="6" t="s">
        <v>398</v>
      </c>
      <c r="E9" s="0" t="s">
        <v>402</v>
      </c>
      <c r="F9" s="183" t="s">
        <v>403</v>
      </c>
    </row>
    <row r="10" customFormat="false" ht="15" hidden="false" customHeight="true" outlineLevel="0" collapsed="false">
      <c r="B10" s="6" t="s">
        <v>404</v>
      </c>
      <c r="C10" s="184" t="n">
        <v>9.95</v>
      </c>
      <c r="D10" s="6" t="s">
        <v>405</v>
      </c>
      <c r="E10" s="0" t="s">
        <v>406</v>
      </c>
      <c r="F10" s="183" t="s">
        <v>407</v>
      </c>
    </row>
    <row r="11" customFormat="false" ht="15" hidden="false" customHeight="true" outlineLevel="0" collapsed="false">
      <c r="B11" s="6" t="s">
        <v>408</v>
      </c>
      <c r="C11" s="182" t="n">
        <v>0.155</v>
      </c>
      <c r="D11" s="6" t="s">
        <v>409</v>
      </c>
      <c r="E11" s="0" t="s">
        <v>410</v>
      </c>
      <c r="F11" s="183" t="s">
        <v>411</v>
      </c>
    </row>
    <row r="12" customFormat="false" ht="15" hidden="false" customHeight="true" outlineLevel="0" collapsed="false">
      <c r="B12" s="6" t="s">
        <v>412</v>
      </c>
      <c r="C12" s="182" t="n">
        <v>0.2</v>
      </c>
      <c r="D12" s="6" t="s">
        <v>413</v>
      </c>
      <c r="E12" s="0" t="s">
        <v>414</v>
      </c>
      <c r="F12" s="183" t="s">
        <v>415</v>
      </c>
    </row>
    <row r="13" customFormat="false" ht="15" hidden="false" customHeight="true" outlineLevel="0" collapsed="false">
      <c r="B13" s="6" t="s">
        <v>416</v>
      </c>
      <c r="C13" s="182" t="n">
        <v>0.125</v>
      </c>
      <c r="D13" s="6" t="s">
        <v>413</v>
      </c>
      <c r="E13" s="0" t="s">
        <v>417</v>
      </c>
      <c r="F13" s="183" t="s">
        <v>418</v>
      </c>
    </row>
    <row r="14" customFormat="false" ht="15" hidden="false" customHeight="true" outlineLevel="0" collapsed="false">
      <c r="B14" s="6"/>
      <c r="D14" s="6"/>
      <c r="F14" s="6"/>
    </row>
    <row r="15" customFormat="false" ht="15" hidden="false" customHeight="true" outlineLevel="0" collapsed="false">
      <c r="B15" s="6"/>
      <c r="D15" s="6"/>
      <c r="F15" s="6"/>
    </row>
    <row r="16" customFormat="false" ht="36" hidden="false" customHeight="true" outlineLevel="0" collapsed="false">
      <c r="B16" s="179" t="s">
        <v>419</v>
      </c>
      <c r="D16" s="6"/>
      <c r="F16" s="6"/>
    </row>
    <row r="17" customFormat="false" ht="15" hidden="false" customHeight="true" outlineLevel="0" collapsed="false">
      <c r="B17" s="6"/>
      <c r="D17" s="6"/>
      <c r="F17" s="6"/>
    </row>
    <row r="18" customFormat="false" ht="15" hidden="false" customHeight="true" outlineLevel="0" collapsed="false">
      <c r="B18" s="180" t="s">
        <v>392</v>
      </c>
      <c r="C18" s="181" t="s">
        <v>393</v>
      </c>
      <c r="D18" s="180" t="s">
        <v>394</v>
      </c>
      <c r="E18" s="181" t="s">
        <v>395</v>
      </c>
      <c r="F18" s="180" t="s">
        <v>396</v>
      </c>
    </row>
    <row r="19" customFormat="false" ht="15" hidden="false" customHeight="true" outlineLevel="0" collapsed="false">
      <c r="B19" s="6" t="s">
        <v>420</v>
      </c>
      <c r="C19" s="182" t="n">
        <v>0.8</v>
      </c>
      <c r="D19" s="6" t="s">
        <v>413</v>
      </c>
      <c r="E19" s="0" t="s">
        <v>421</v>
      </c>
      <c r="F19" s="183" t="s">
        <v>422</v>
      </c>
    </row>
    <row r="20" customFormat="false" ht="15" hidden="false" customHeight="true" outlineLevel="0" collapsed="false">
      <c r="B20" s="6" t="s">
        <v>423</v>
      </c>
      <c r="C20" s="182" t="n">
        <v>0.9</v>
      </c>
      <c r="D20" s="6" t="s">
        <v>413</v>
      </c>
      <c r="E20" s="0" t="s">
        <v>424</v>
      </c>
      <c r="F20" s="183" t="s">
        <v>425</v>
      </c>
    </row>
    <row r="21" customFormat="false" ht="15" hidden="false" customHeight="true" outlineLevel="0" collapsed="false">
      <c r="B21" s="6" t="s">
        <v>426</v>
      </c>
      <c r="C21" s="184" t="n">
        <v>1</v>
      </c>
      <c r="D21" s="6" t="s">
        <v>413</v>
      </c>
      <c r="E21" s="0" t="s">
        <v>427</v>
      </c>
      <c r="F21" s="183" t="s">
        <v>428</v>
      </c>
    </row>
    <row r="22" customFormat="false" ht="15" hidden="false" customHeight="true" outlineLevel="0" collapsed="false">
      <c r="B22" s="6" t="s">
        <v>429</v>
      </c>
      <c r="C22" s="182" t="n">
        <v>0.03</v>
      </c>
      <c r="D22" s="6" t="s">
        <v>398</v>
      </c>
      <c r="E22" s="0" t="s">
        <v>430</v>
      </c>
      <c r="F22" s="183" t="s">
        <v>431</v>
      </c>
    </row>
    <row r="23" customFormat="false" ht="15" hidden="false" customHeight="true" outlineLevel="0" collapsed="false">
      <c r="B23" s="6" t="s">
        <v>432</v>
      </c>
      <c r="C23" s="182" t="n">
        <v>0</v>
      </c>
      <c r="D23" s="6" t="s">
        <v>413</v>
      </c>
      <c r="E23" s="0" t="s">
        <v>433</v>
      </c>
      <c r="F23" s="183" t="s">
        <v>434</v>
      </c>
    </row>
    <row r="24" customFormat="false" ht="15" hidden="false" customHeight="true" outlineLevel="0" collapsed="false">
      <c r="B24" s="6" t="s">
        <v>435</v>
      </c>
      <c r="C24" s="182" t="n">
        <v>0.02</v>
      </c>
      <c r="D24" s="6" t="s">
        <v>413</v>
      </c>
      <c r="E24" s="0" t="s">
        <v>436</v>
      </c>
      <c r="F24" s="183" t="s">
        <v>437</v>
      </c>
    </row>
    <row r="25" customFormat="false" ht="15" hidden="false" customHeight="true" outlineLevel="0" collapsed="false">
      <c r="B25" s="6" t="s">
        <v>438</v>
      </c>
      <c r="C25" s="182" t="n">
        <v>0.3</v>
      </c>
      <c r="D25" s="6" t="s">
        <v>413</v>
      </c>
      <c r="E25" s="0" t="s">
        <v>439</v>
      </c>
      <c r="F25" s="183" t="s">
        <v>440</v>
      </c>
    </row>
    <row r="26" customFormat="false" ht="15" hidden="false" customHeight="true" outlineLevel="0" collapsed="false">
      <c r="B26" s="6" t="s">
        <v>441</v>
      </c>
      <c r="C26" s="182" t="n">
        <v>0.05</v>
      </c>
      <c r="D26" s="6" t="s">
        <v>413</v>
      </c>
      <c r="E26" s="0" t="s">
        <v>442</v>
      </c>
      <c r="F26" s="183" t="s">
        <v>443</v>
      </c>
    </row>
    <row r="27" customFormat="false" ht="15" hidden="false" customHeight="true" outlineLevel="0" collapsed="false">
      <c r="B27" s="6" t="s">
        <v>444</v>
      </c>
      <c r="C27" s="182" t="n">
        <v>0.35</v>
      </c>
      <c r="D27" s="6" t="s">
        <v>413</v>
      </c>
      <c r="E27" s="0" t="s">
        <v>445</v>
      </c>
      <c r="F27" s="183" t="s">
        <v>446</v>
      </c>
    </row>
    <row r="28" customFormat="false" ht="15" hidden="false" customHeight="true" outlineLevel="0" collapsed="false">
      <c r="B28" s="6" t="s">
        <v>447</v>
      </c>
      <c r="C28" s="182" t="n">
        <v>0.05</v>
      </c>
      <c r="D28" s="6" t="s">
        <v>413</v>
      </c>
      <c r="E28" s="0" t="s">
        <v>448</v>
      </c>
      <c r="F28" s="183" t="s">
        <v>449</v>
      </c>
    </row>
    <row r="29" customFormat="false" ht="15" hidden="false" customHeight="true" outlineLevel="0" collapsed="false">
      <c r="B29" s="6" t="s">
        <v>450</v>
      </c>
      <c r="C29" s="182" t="n">
        <v>0.025</v>
      </c>
      <c r="D29" s="6" t="s">
        <v>398</v>
      </c>
      <c r="E29" s="0" t="s">
        <v>451</v>
      </c>
      <c r="F29" s="183" t="s">
        <v>452</v>
      </c>
    </row>
    <row r="30" customFormat="false" ht="15" hidden="false" customHeight="true" outlineLevel="0" collapsed="false">
      <c r="B30" s="6" t="s">
        <v>453</v>
      </c>
      <c r="C30" s="182" t="n">
        <v>0.85</v>
      </c>
      <c r="D30" s="6" t="s">
        <v>413</v>
      </c>
      <c r="E30" s="0" t="s">
        <v>454</v>
      </c>
      <c r="F30" s="183" t="s">
        <v>455</v>
      </c>
    </row>
    <row r="31" customFormat="false" ht="15" hidden="false" customHeight="true" outlineLevel="0" collapsed="false">
      <c r="B31" s="6" t="s">
        <v>456</v>
      </c>
      <c r="C31" s="0" t="n">
        <v>0.05</v>
      </c>
      <c r="D31" s="6"/>
      <c r="F31" s="6" t="s">
        <v>457</v>
      </c>
    </row>
    <row r="32" customFormat="false" ht="15" hidden="false" customHeight="true" outlineLevel="0" collapsed="false">
      <c r="B32" s="6" t="s">
        <v>458</v>
      </c>
      <c r="C32" s="0" t="n">
        <v>0.03</v>
      </c>
      <c r="D32" s="6"/>
      <c r="F32" s="6" t="s">
        <v>459</v>
      </c>
    </row>
    <row r="33" customFormat="false" ht="15" hidden="false" customHeight="true" outlineLevel="0" collapsed="false">
      <c r="B33" s="179" t="s">
        <v>460</v>
      </c>
      <c r="C33" s="0" t="n">
        <v>0.8</v>
      </c>
      <c r="D33" s="6"/>
      <c r="F33" s="6" t="s">
        <v>461</v>
      </c>
    </row>
    <row r="34" customFormat="false" ht="15" hidden="false" customHeight="true" outlineLevel="0" collapsed="false">
      <c r="B34" s="6" t="s">
        <v>462</v>
      </c>
      <c r="C34" s="0" t="n">
        <v>0.9</v>
      </c>
      <c r="D34" s="6"/>
      <c r="F34" s="6" t="s">
        <v>463</v>
      </c>
    </row>
    <row r="35" customFormat="false" ht="15" hidden="false" customHeight="true" outlineLevel="0" collapsed="false">
      <c r="B35" s="180" t="s">
        <v>392</v>
      </c>
      <c r="C35" s="181" t="s">
        <v>393</v>
      </c>
      <c r="D35" s="180" t="s">
        <v>394</v>
      </c>
      <c r="E35" s="181" t="s">
        <v>395</v>
      </c>
      <c r="F35" s="180" t="s">
        <v>396</v>
      </c>
    </row>
    <row r="36" customFormat="false" ht="15" hidden="false" customHeight="true" outlineLevel="0" collapsed="false">
      <c r="B36" s="6" t="s">
        <v>464</v>
      </c>
      <c r="C36" s="185" t="n">
        <f aca="false">MASTER_ASSUMPTIONS!C44</f>
        <v>0.07</v>
      </c>
      <c r="D36" s="6" t="s">
        <v>413</v>
      </c>
      <c r="E36" s="0" t="s">
        <v>465</v>
      </c>
      <c r="F36" s="183" t="s">
        <v>466</v>
      </c>
    </row>
    <row r="37" customFormat="false" ht="15" hidden="false" customHeight="true" outlineLevel="0" collapsed="false">
      <c r="B37" s="6" t="s">
        <v>467</v>
      </c>
      <c r="C37" s="186" t="n">
        <f aca="false">MASTER_ASSUMPTIONS!C45</f>
        <v>7</v>
      </c>
      <c r="D37" s="6" t="s">
        <v>468</v>
      </c>
      <c r="E37" s="0" t="s">
        <v>469</v>
      </c>
      <c r="F37" s="183" t="s">
        <v>470</v>
      </c>
    </row>
    <row r="38" customFormat="false" ht="15" hidden="false" customHeight="true" outlineLevel="0" collapsed="false">
      <c r="B38" s="6" t="s">
        <v>471</v>
      </c>
      <c r="C38" s="182" t="n">
        <v>0.08</v>
      </c>
      <c r="D38" s="6" t="s">
        <v>413</v>
      </c>
      <c r="E38" s="0" t="s">
        <v>472</v>
      </c>
      <c r="F38" s="183" t="s">
        <v>473</v>
      </c>
    </row>
    <row r="39" customFormat="false" ht="15" hidden="false" customHeight="true" outlineLevel="0" collapsed="false">
      <c r="B39" s="6" t="s">
        <v>474</v>
      </c>
      <c r="C39" s="187" t="n">
        <v>5</v>
      </c>
      <c r="D39" s="6" t="s">
        <v>468</v>
      </c>
      <c r="E39" s="0" t="s">
        <v>475</v>
      </c>
      <c r="F39" s="183" t="s">
        <v>476</v>
      </c>
    </row>
    <row r="40" customFormat="false" ht="15" hidden="false" customHeight="true" outlineLevel="0" collapsed="false">
      <c r="B40" s="6" t="s">
        <v>477</v>
      </c>
      <c r="C40" s="182" t="n">
        <v>0</v>
      </c>
      <c r="D40" s="6" t="s">
        <v>413</v>
      </c>
      <c r="E40" s="0" t="s">
        <v>478</v>
      </c>
      <c r="F40" s="183" t="s">
        <v>479</v>
      </c>
    </row>
    <row r="41" customFormat="false" ht="15" hidden="false" customHeight="true" outlineLevel="0" collapsed="false">
      <c r="B41" s="6" t="s">
        <v>480</v>
      </c>
      <c r="C41" s="187" t="n">
        <v>3</v>
      </c>
      <c r="D41" s="6" t="s">
        <v>468</v>
      </c>
      <c r="E41" s="0" t="s">
        <v>481</v>
      </c>
      <c r="F41" s="183" t="s">
        <v>482</v>
      </c>
    </row>
    <row r="42" customFormat="false" ht="15" hidden="false" customHeight="true" outlineLevel="0" collapsed="false">
      <c r="B42" s="6"/>
      <c r="D42" s="6"/>
      <c r="F42" s="6"/>
    </row>
    <row r="43" customFormat="false" ht="15" hidden="false" customHeight="true" outlineLevel="0" collapsed="false">
      <c r="B43" s="6"/>
      <c r="D43" s="6"/>
      <c r="F43" s="6"/>
    </row>
    <row r="44" customFormat="false" ht="15" hidden="false" customHeight="true" outlineLevel="0" collapsed="false">
      <c r="B44" s="179" t="s">
        <v>483</v>
      </c>
      <c r="D44" s="6"/>
      <c r="F44" s="6"/>
    </row>
    <row r="45" customFormat="false" ht="15" hidden="false" customHeight="true" outlineLevel="0" collapsed="false">
      <c r="B45" s="6" t="s">
        <v>484</v>
      </c>
      <c r="C45" s="0" t="n">
        <v>7.2</v>
      </c>
      <c r="D45" s="6"/>
      <c r="F45" s="6" t="s">
        <v>485</v>
      </c>
    </row>
    <row r="46" customFormat="false" ht="36" hidden="false" customHeight="true" outlineLevel="0" collapsed="false">
      <c r="B46" s="180" t="s">
        <v>486</v>
      </c>
      <c r="D46" s="6"/>
      <c r="F46" s="6"/>
    </row>
    <row r="47" customFormat="false" ht="15" hidden="false" customHeight="true" outlineLevel="0" collapsed="false">
      <c r="B47" s="6"/>
      <c r="D47" s="6"/>
      <c r="F47" s="6"/>
    </row>
    <row r="48" customFormat="false" ht="36" hidden="false" customHeight="true" outlineLevel="0" collapsed="false">
      <c r="B48" s="6" t="s">
        <v>487</v>
      </c>
      <c r="D48" s="6"/>
      <c r="F48" s="6"/>
    </row>
    <row r="49" customFormat="false" ht="36" hidden="false" customHeight="true" outlineLevel="0" collapsed="false">
      <c r="B49" s="6" t="s">
        <v>488</v>
      </c>
      <c r="D49" s="6"/>
      <c r="F49" s="6"/>
    </row>
    <row r="50" customFormat="false" ht="15" hidden="false" customHeight="true" outlineLevel="0" collapsed="false">
      <c r="B50" s="6"/>
      <c r="D50" s="6"/>
      <c r="F50" s="6"/>
    </row>
    <row r="51" customFormat="false" ht="15" hidden="false" customHeight="true" outlineLevel="0" collapsed="false">
      <c r="B51" s="180" t="s">
        <v>489</v>
      </c>
      <c r="D51" s="6"/>
      <c r="F51" s="6"/>
    </row>
    <row r="52" customFormat="false" ht="36" hidden="false" customHeight="true" outlineLevel="0" collapsed="false">
      <c r="B52" s="6" t="s">
        <v>490</v>
      </c>
      <c r="D52" s="6"/>
      <c r="F52" s="6"/>
    </row>
    <row r="53" customFormat="false" ht="36" hidden="false" customHeight="true" outlineLevel="0" collapsed="false">
      <c r="B53" s="6" t="s">
        <v>491</v>
      </c>
      <c r="D53" s="6"/>
      <c r="F53" s="6"/>
    </row>
    <row r="54" customFormat="false" ht="15" hidden="false" customHeight="true" outlineLevel="0" collapsed="false">
      <c r="B54" s="6"/>
      <c r="D54" s="6"/>
      <c r="F54" s="6"/>
    </row>
    <row r="55" customFormat="false" ht="15" hidden="false" customHeight="true" outlineLevel="0" collapsed="false">
      <c r="B55" s="180" t="s">
        <v>492</v>
      </c>
      <c r="D55" s="6"/>
      <c r="F55" s="6"/>
    </row>
    <row r="56" customFormat="false" ht="15" hidden="false" customHeight="true" outlineLevel="0" collapsed="false">
      <c r="B56" s="6" t="s">
        <v>493</v>
      </c>
      <c r="D56" s="6"/>
      <c r="F56" s="6"/>
    </row>
    <row r="57" customFormat="false" ht="36" hidden="false" customHeight="true" outlineLevel="0" collapsed="false">
      <c r="B57" s="6" t="s">
        <v>494</v>
      </c>
      <c r="D57" s="6"/>
      <c r="F57" s="6"/>
    </row>
    <row r="58" customFormat="false" ht="36" hidden="false" customHeight="true" outlineLevel="0" collapsed="false">
      <c r="B58" s="6" t="s">
        <v>495</v>
      </c>
      <c r="D58" s="6"/>
      <c r="F58" s="6"/>
    </row>
    <row r="59" customFormat="false" ht="36" hidden="false" customHeight="true" outlineLevel="0" collapsed="false">
      <c r="B59" s="6" t="s">
        <v>496</v>
      </c>
      <c r="D59" s="6"/>
      <c r="F59" s="6"/>
    </row>
    <row r="60" customFormat="false" ht="15" hidden="false" customHeight="true" outlineLevel="0" collapsed="false">
      <c r="B60" s="0" t="s">
        <v>497</v>
      </c>
    </row>
    <row r="62" customFormat="false" ht="15" hidden="false" customHeight="true" outlineLevel="0" collapsed="false">
      <c r="B62" s="0" t="s">
        <v>498</v>
      </c>
      <c r="C62" s="0" t="s">
        <v>393</v>
      </c>
      <c r="F62" s="0" t="s">
        <v>396</v>
      </c>
    </row>
    <row r="63" customFormat="false" ht="15" hidden="false" customHeight="true" outlineLevel="0" collapsed="false">
      <c r="B63" s="0" t="s">
        <v>499</v>
      </c>
      <c r="C63" s="0" t="n">
        <v>5</v>
      </c>
      <c r="F63" s="0" t="s">
        <v>500</v>
      </c>
    </row>
    <row r="64" customFormat="false" ht="15" hidden="false" customHeight="true" outlineLevel="0" collapsed="false">
      <c r="B64" s="0" t="s">
        <v>501</v>
      </c>
      <c r="C64" s="0" t="n">
        <v>0.15</v>
      </c>
      <c r="F64" s="0" t="s">
        <v>502</v>
      </c>
    </row>
    <row r="65" customFormat="false" ht="15" hidden="false" customHeight="true" outlineLevel="0" collapsed="false">
      <c r="B65" s="0" t="s">
        <v>503</v>
      </c>
      <c r="C65" s="0" t="s">
        <v>324</v>
      </c>
      <c r="F65" s="0" t="s">
        <v>504</v>
      </c>
    </row>
    <row r="66" customFormat="false" ht="15" hidden="false" customHeight="true" outlineLevel="0" collapsed="false">
      <c r="B66" s="0" t="s">
        <v>505</v>
      </c>
      <c r="C66" s="0" t="n">
        <f aca="false">IF(C65="YES",0,C64)</f>
        <v>0</v>
      </c>
      <c r="F66" s="0" t="s">
        <v>506</v>
      </c>
    </row>
    <row r="67" customFormat="false" ht="15" hidden="false" customHeight="true" outlineLevel="0" collapsed="false">
      <c r="B67" s="0" t="s">
        <v>507</v>
      </c>
      <c r="C67" s="0" t="s">
        <v>324</v>
      </c>
      <c r="F67" s="0" t="s">
        <v>508</v>
      </c>
    </row>
    <row r="68" customFormat="false" ht="15" hidden="false" customHeight="true" outlineLevel="0" collapsed="false">
      <c r="B68" s="0" t="s">
        <v>509</v>
      </c>
      <c r="C68" s="0" t="n">
        <v>0.18</v>
      </c>
      <c r="F68" s="0" t="s">
        <v>510</v>
      </c>
    </row>
    <row r="69" customFormat="false" ht="15" hidden="false" customHeight="true" outlineLevel="0" collapsed="false">
      <c r="B69" s="0" t="s">
        <v>511</v>
      </c>
      <c r="C69" s="0" t="n">
        <f aca="false">IF(C67="YES",C68,0)</f>
        <v>0.18</v>
      </c>
      <c r="F69" s="0" t="s">
        <v>512</v>
      </c>
    </row>
    <row r="71" customFormat="false" ht="15" hidden="false" customHeight="true" outlineLevel="0" collapsed="false">
      <c r="B71" s="0" t="s">
        <v>513</v>
      </c>
    </row>
    <row r="72" customFormat="false" ht="15" hidden="false" customHeight="true" outlineLevel="0" collapsed="false">
      <c r="B72" s="0" t="s">
        <v>514</v>
      </c>
    </row>
    <row r="73" customFormat="false" ht="15" hidden="false" customHeight="true" outlineLevel="0" collapsed="false">
      <c r="B73" s="0" t="s">
        <v>515</v>
      </c>
      <c r="C73" s="0" t="n">
        <v>1725000</v>
      </c>
      <c r="F73" s="0" t="s">
        <v>516</v>
      </c>
    </row>
    <row r="74" customFormat="false" ht="15" hidden="false" customHeight="true" outlineLevel="0" collapsed="false">
      <c r="B74" s="0" t="s">
        <v>517</v>
      </c>
      <c r="C74" s="0" t="n">
        <f aca="false">C73*4.7*C69</f>
        <v>1459350</v>
      </c>
      <c r="F74" s="0" t="s">
        <v>518</v>
      </c>
    </row>
    <row r="80" customFormat="false" ht="15" hidden="false" customHeight="true" outlineLevel="0" collapsed="false">
      <c r="B80" s="140" t="s">
        <v>519</v>
      </c>
      <c r="C80" s="140"/>
      <c r="D80" s="140"/>
      <c r="E80" s="140"/>
      <c r="F80" s="140"/>
    </row>
    <row r="82" customFormat="false" ht="15" hidden="false" customHeight="true" outlineLevel="0" collapsed="false">
      <c r="B82" s="188" t="s">
        <v>396</v>
      </c>
      <c r="C82" s="188" t="s">
        <v>520</v>
      </c>
      <c r="D82" s="188" t="s">
        <v>521</v>
      </c>
    </row>
    <row r="83" customFormat="false" ht="18" hidden="false" customHeight="true" outlineLevel="0" collapsed="false">
      <c r="B83" s="0" t="s">
        <v>522</v>
      </c>
      <c r="C83" s="0" t="s">
        <v>523</v>
      </c>
      <c r="D83" s="143" t="s">
        <v>524</v>
      </c>
    </row>
    <row r="84" customFormat="false" ht="18" hidden="false" customHeight="true" outlineLevel="0" collapsed="false">
      <c r="B84" s="0" t="s">
        <v>525</v>
      </c>
      <c r="C84" s="0" t="s">
        <v>526</v>
      </c>
      <c r="D84" s="143" t="s">
        <v>527</v>
      </c>
    </row>
    <row r="85" customFormat="false" ht="18" hidden="false" customHeight="true" outlineLevel="0" collapsed="false">
      <c r="B85" s="0" t="s">
        <v>528</v>
      </c>
      <c r="C85" s="0" t="s">
        <v>529</v>
      </c>
      <c r="D85" s="143" t="s">
        <v>530</v>
      </c>
    </row>
    <row r="86" customFormat="false" ht="18" hidden="false" customHeight="true" outlineLevel="0" collapsed="false">
      <c r="B86" s="0" t="s">
        <v>531</v>
      </c>
      <c r="C86" s="0" t="s">
        <v>532</v>
      </c>
      <c r="D86" s="143" t="s">
        <v>533</v>
      </c>
    </row>
    <row r="87" customFormat="false" ht="18" hidden="false" customHeight="true" outlineLevel="0" collapsed="false">
      <c r="B87" s="0" t="s">
        <v>534</v>
      </c>
      <c r="C87" s="0" t="s">
        <v>535</v>
      </c>
      <c r="D87" s="143" t="s">
        <v>536</v>
      </c>
    </row>
    <row r="88" customFormat="false" ht="18" hidden="false" customHeight="true" outlineLevel="0" collapsed="false">
      <c r="B88" s="0" t="s">
        <v>537</v>
      </c>
      <c r="C88" s="0" t="s">
        <v>538</v>
      </c>
      <c r="D88" s="143" t="s">
        <v>539</v>
      </c>
    </row>
    <row r="89" customFormat="false" ht="18" hidden="false" customHeight="true" outlineLevel="0" collapsed="false">
      <c r="B89" s="0" t="s">
        <v>540</v>
      </c>
      <c r="C89" s="0" t="s">
        <v>541</v>
      </c>
      <c r="D89" s="143" t="s">
        <v>542</v>
      </c>
    </row>
    <row r="90" customFormat="false" ht="18" hidden="false" customHeight="true" outlineLevel="0" collapsed="false">
      <c r="B90" s="0" t="s">
        <v>543</v>
      </c>
      <c r="C90" s="0" t="s">
        <v>544</v>
      </c>
      <c r="D90" s="143" t="s">
        <v>545</v>
      </c>
    </row>
    <row r="91" customFormat="false" ht="18" hidden="false" customHeight="true" outlineLevel="0" collapsed="false">
      <c r="B91" s="0" t="s">
        <v>546</v>
      </c>
      <c r="C91" s="0" t="s">
        <v>547</v>
      </c>
      <c r="D91" s="143" t="s">
        <v>548</v>
      </c>
    </row>
    <row r="92" customFormat="false" ht="18" hidden="false" customHeight="true" outlineLevel="0" collapsed="false">
      <c r="B92" s="0" t="s">
        <v>549</v>
      </c>
      <c r="C92" s="0" t="s">
        <v>550</v>
      </c>
      <c r="D92" s="143" t="s">
        <v>551</v>
      </c>
    </row>
    <row r="93" customFormat="false" ht="18" hidden="false" customHeight="true" outlineLevel="0" collapsed="false">
      <c r="B93" s="0" t="s">
        <v>552</v>
      </c>
      <c r="C93" s="0" t="s">
        <v>553</v>
      </c>
      <c r="D93" s="143" t="s">
        <v>554</v>
      </c>
    </row>
    <row r="94" customFormat="false" ht="18" hidden="false" customHeight="true" outlineLevel="0" collapsed="false">
      <c r="B94" s="0" t="s">
        <v>555</v>
      </c>
      <c r="C94" s="0" t="s">
        <v>556</v>
      </c>
      <c r="D94" s="143" t="s">
        <v>557</v>
      </c>
    </row>
    <row r="95" customFormat="false" ht="18" hidden="false" customHeight="true" outlineLevel="0" collapsed="false">
      <c r="B95" s="0" t="s">
        <v>558</v>
      </c>
      <c r="C95" s="0" t="s">
        <v>559</v>
      </c>
      <c r="D95" s="143" t="s">
        <v>560</v>
      </c>
    </row>
    <row r="96" customFormat="false" ht="18" hidden="false" customHeight="true" outlineLevel="0" collapsed="false">
      <c r="B96" s="0" t="s">
        <v>561</v>
      </c>
      <c r="C96" s="0" t="s">
        <v>562</v>
      </c>
      <c r="D96" s="143" t="s">
        <v>563</v>
      </c>
    </row>
    <row r="97" customFormat="false" ht="18" hidden="false" customHeight="true" outlineLevel="0" collapsed="false">
      <c r="B97" s="0" t="s">
        <v>564</v>
      </c>
      <c r="C97" s="0" t="s">
        <v>565</v>
      </c>
      <c r="D97" s="143" t="s">
        <v>566</v>
      </c>
    </row>
    <row r="98" customFormat="false" ht="18" hidden="false" customHeight="true" outlineLevel="0" collapsed="false">
      <c r="B98" s="0" t="s">
        <v>567</v>
      </c>
      <c r="C98" s="0" t="s">
        <v>568</v>
      </c>
      <c r="D98" s="143" t="s">
        <v>569</v>
      </c>
    </row>
    <row r="99" customFormat="false" ht="18" hidden="false" customHeight="true" outlineLevel="0" collapsed="false">
      <c r="B99" s="0" t="s">
        <v>570</v>
      </c>
      <c r="C99" s="0" t="s">
        <v>571</v>
      </c>
      <c r="D99" s="143" t="s">
        <v>572</v>
      </c>
    </row>
    <row r="100" customFormat="false" ht="18" hidden="false" customHeight="true" outlineLevel="0" collapsed="false">
      <c r="B100" s="0" t="s">
        <v>573</v>
      </c>
      <c r="C100" s="0" t="s">
        <v>574</v>
      </c>
      <c r="D100" s="143" t="s">
        <v>575</v>
      </c>
    </row>
    <row r="101" customFormat="false" ht="18" hidden="false" customHeight="true" outlineLevel="0" collapsed="false">
      <c r="B101" s="0" t="s">
        <v>576</v>
      </c>
      <c r="C101" s="0" t="s">
        <v>577</v>
      </c>
      <c r="D101" s="143" t="s">
        <v>578</v>
      </c>
    </row>
    <row r="102" customFormat="false" ht="18" hidden="false" customHeight="true" outlineLevel="0" collapsed="false">
      <c r="B102" s="0" t="s">
        <v>579</v>
      </c>
      <c r="C102" s="0" t="s">
        <v>580</v>
      </c>
      <c r="D102" s="143" t="s">
        <v>581</v>
      </c>
    </row>
    <row r="103" customFormat="false" ht="18" hidden="false" customHeight="true" outlineLevel="0" collapsed="false">
      <c r="B103" s="0" t="s">
        <v>582</v>
      </c>
      <c r="C103" s="0" t="s">
        <v>583</v>
      </c>
      <c r="D103" s="143" t="s">
        <v>584</v>
      </c>
    </row>
    <row r="104" customFormat="false" ht="18" hidden="false" customHeight="true" outlineLevel="0" collapsed="false">
      <c r="B104" s="0" t="s">
        <v>585</v>
      </c>
      <c r="C104" s="0" t="s">
        <v>586</v>
      </c>
      <c r="D104" s="143" t="s">
        <v>587</v>
      </c>
    </row>
    <row r="105" customFormat="false" ht="18" hidden="false" customHeight="true" outlineLevel="0" collapsed="false">
      <c r="B105" s="0" t="s">
        <v>588</v>
      </c>
      <c r="C105" s="0" t="s">
        <v>589</v>
      </c>
      <c r="D105" s="143" t="s">
        <v>590</v>
      </c>
    </row>
    <row r="106" customFormat="false" ht="18" hidden="false" customHeight="true" outlineLevel="0" collapsed="false">
      <c r="B106" s="0" t="s">
        <v>591</v>
      </c>
      <c r="C106" s="0" t="s">
        <v>592</v>
      </c>
      <c r="D106" s="143" t="s">
        <v>593</v>
      </c>
    </row>
    <row r="107" customFormat="false" ht="18" hidden="false" customHeight="true" outlineLevel="0" collapsed="false">
      <c r="B107" s="0" t="s">
        <v>594</v>
      </c>
      <c r="C107" s="0" t="s">
        <v>595</v>
      </c>
      <c r="D107" s="143" t="s">
        <v>596</v>
      </c>
    </row>
    <row r="109" customFormat="false" ht="27.75" hidden="false" customHeight="true" outlineLevel="0" collapsed="false">
      <c r="B109" s="189" t="s">
        <v>597</v>
      </c>
      <c r="C109" s="189"/>
      <c r="D109" s="189"/>
      <c r="E109" s="189"/>
      <c r="F109" s="189"/>
    </row>
  </sheetData>
  <mergeCells count="2">
    <mergeCell ref="B80:F80"/>
    <mergeCell ref="B109:F10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E3C"/>
    <pageSetUpPr fitToPage="false"/>
  </sheetPr>
  <dimension ref="B1:M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5" min="5" style="0" width="22"/>
    <col collapsed="false" customWidth="true" hidden="false" outlineLevel="0" max="10" min="6" style="0" width="9"/>
    <col collapsed="false" customWidth="true" hidden="false" outlineLevel="0" max="11" min="11" style="0" width="18"/>
    <col collapsed="false" customWidth="true" hidden="false" outlineLevel="0" max="13" min="12" style="0" width="9"/>
  </cols>
  <sheetData>
    <row r="1" customFormat="false" ht="3.75" hidden="false" customHeight="true" outlineLevel="0" collapsed="false">
      <c r="B1" s="1"/>
      <c r="C1" s="2"/>
      <c r="D1" s="2"/>
      <c r="E1" s="1"/>
      <c r="F1" s="2"/>
      <c r="G1" s="2"/>
      <c r="H1" s="2"/>
      <c r="I1" s="2"/>
      <c r="J1" s="2"/>
      <c r="K1" s="2"/>
      <c r="L1" s="2"/>
      <c r="M1" s="2"/>
    </row>
    <row r="2" customFormat="false" ht="30" hidden="false" customHeight="true" outlineLevel="0" collapsed="false">
      <c r="B2" s="298" t="s">
        <v>3022</v>
      </c>
      <c r="C2" s="298"/>
      <c r="D2" s="298"/>
      <c r="E2" s="298"/>
      <c r="F2" s="298"/>
      <c r="G2" s="298"/>
      <c r="H2" s="298"/>
      <c r="I2" s="298"/>
      <c r="J2" s="298"/>
      <c r="K2" s="299" t="s">
        <v>995</v>
      </c>
      <c r="L2" s="299"/>
      <c r="M2" s="299"/>
    </row>
    <row r="3" customFormat="false" ht="33.75" hidden="false" customHeight="true" outlineLevel="0" collapsed="false">
      <c r="B3" s="757" t="s">
        <v>3023</v>
      </c>
      <c r="C3" s="757"/>
      <c r="D3" s="757"/>
      <c r="E3" s="757"/>
      <c r="F3" s="757"/>
      <c r="G3" s="757"/>
      <c r="H3" s="757"/>
      <c r="I3" s="757"/>
      <c r="J3" s="757"/>
      <c r="K3" s="757"/>
      <c r="L3" s="757"/>
      <c r="M3" s="757"/>
    </row>
    <row r="4" customFormat="false" ht="15" hidden="false" customHeight="true" outlineLevel="0" collapsed="false">
      <c r="B4" s="6"/>
      <c r="E4" s="6"/>
    </row>
    <row r="5" customFormat="false" ht="24" hidden="false" customHeight="true" outlineLevel="0" collapsed="false">
      <c r="B5" s="3" t="s">
        <v>3024</v>
      </c>
      <c r="C5" s="3"/>
      <c r="D5" s="3"/>
      <c r="E5" s="3"/>
      <c r="F5" s="3"/>
      <c r="G5" s="3"/>
      <c r="H5" s="3"/>
      <c r="I5" s="3"/>
      <c r="J5" s="3"/>
      <c r="K5" s="3"/>
      <c r="L5" s="3"/>
      <c r="M5" s="3"/>
    </row>
    <row r="6" customFormat="false" ht="93.75" hidden="false" customHeight="true" outlineLevel="0" collapsed="false">
      <c r="B6" s="45" t="s">
        <v>3025</v>
      </c>
      <c r="C6" s="45"/>
      <c r="D6" s="45"/>
      <c r="E6" s="45"/>
      <c r="F6" s="45"/>
      <c r="G6" s="45"/>
      <c r="H6" s="45"/>
      <c r="I6" s="45"/>
      <c r="J6" s="45"/>
      <c r="K6" s="45"/>
      <c r="L6" s="45"/>
      <c r="M6" s="45"/>
    </row>
    <row r="7" customFormat="false" ht="15" hidden="false" customHeight="true" outlineLevel="0" collapsed="false">
      <c r="B7" s="6"/>
      <c r="E7" s="6"/>
    </row>
    <row r="8" customFormat="false" ht="15" hidden="false" customHeight="true" outlineLevel="0" collapsed="false">
      <c r="B8" s="6"/>
      <c r="E8" s="6"/>
    </row>
    <row r="9" customFormat="false" ht="24" hidden="false" customHeight="true" outlineLevel="0" collapsed="false">
      <c r="B9" s="3" t="s">
        <v>3026</v>
      </c>
      <c r="C9" s="3"/>
      <c r="D9" s="3"/>
      <c r="E9" s="3"/>
      <c r="F9" s="3"/>
      <c r="G9" s="3"/>
      <c r="H9" s="3"/>
      <c r="I9" s="3"/>
      <c r="J9" s="3"/>
      <c r="K9" s="3"/>
      <c r="L9" s="3"/>
      <c r="M9" s="3"/>
    </row>
    <row r="10" customFormat="false" ht="24" hidden="false" customHeight="true" outlineLevel="0" collapsed="false">
      <c r="B10" s="797" t="s">
        <v>206</v>
      </c>
      <c r="C10" s="798" t="s">
        <v>393</v>
      </c>
      <c r="D10" s="798" t="s">
        <v>1658</v>
      </c>
      <c r="E10" s="6"/>
    </row>
    <row r="11" customFormat="false" ht="30" hidden="false" customHeight="true" outlineLevel="0" collapsed="false">
      <c r="B11" s="49" t="s">
        <v>3027</v>
      </c>
      <c r="C11" s="834" t="n">
        <f aca="false">'Museum · Drivers'!C49</f>
        <v>25500</v>
      </c>
      <c r="D11" s="799" t="s">
        <v>3028</v>
      </c>
      <c r="E11" s="6"/>
    </row>
    <row r="12" customFormat="false" ht="30" hidden="false" customHeight="true" outlineLevel="0" collapsed="false">
      <c r="B12" s="49" t="s">
        <v>3029</v>
      </c>
      <c r="C12" s="834" t="n">
        <f aca="false">'Museum · Drivers'!C54</f>
        <v>6427.2</v>
      </c>
      <c r="D12" s="799" t="s">
        <v>3030</v>
      </c>
      <c r="E12" s="6"/>
    </row>
    <row r="13" customFormat="false" ht="30" hidden="false" customHeight="true" outlineLevel="0" collapsed="false">
      <c r="B13" s="49" t="s">
        <v>3031</v>
      </c>
      <c r="C13" s="834" t="n">
        <f aca="false">'Museum · Drivers'!C55</f>
        <v>31927.2</v>
      </c>
      <c r="D13" s="799" t="s">
        <v>3032</v>
      </c>
      <c r="E13" s="6"/>
    </row>
    <row r="14" customFormat="false" ht="30" hidden="false" customHeight="true" outlineLevel="0" collapsed="false">
      <c r="B14" s="49" t="s">
        <v>3033</v>
      </c>
      <c r="C14" s="799" t="s">
        <v>3034</v>
      </c>
      <c r="D14" s="799" t="s">
        <v>3035</v>
      </c>
      <c r="E14" s="6"/>
    </row>
    <row r="15" customFormat="false" ht="15" hidden="false" customHeight="true" outlineLevel="0" collapsed="false">
      <c r="B15" s="6"/>
      <c r="E15" s="6"/>
    </row>
    <row r="16" customFormat="false" ht="15" hidden="false" customHeight="true" outlineLevel="0" collapsed="false">
      <c r="B16" s="6"/>
      <c r="E16" s="6"/>
    </row>
    <row r="17" customFormat="false" ht="33.75" hidden="false" customHeight="true" outlineLevel="0" collapsed="false">
      <c r="B17" s="3" t="s">
        <v>3036</v>
      </c>
      <c r="C17" s="3"/>
      <c r="D17" s="3"/>
      <c r="E17" s="3"/>
      <c r="F17" s="3"/>
      <c r="G17" s="3"/>
      <c r="H17" s="3"/>
      <c r="I17" s="3"/>
      <c r="J17" s="3"/>
      <c r="K17" s="3"/>
      <c r="L17" s="3"/>
      <c r="M17" s="3"/>
    </row>
    <row r="18" customFormat="false" ht="24" hidden="false" customHeight="true" outlineLevel="0" collapsed="false">
      <c r="B18" s="797" t="s">
        <v>3037</v>
      </c>
      <c r="C18" s="798" t="s">
        <v>3038</v>
      </c>
      <c r="D18" s="798" t="s">
        <v>3039</v>
      </c>
      <c r="E18" s="797" t="s">
        <v>1533</v>
      </c>
    </row>
    <row r="19" customFormat="false" ht="30" hidden="false" customHeight="true" outlineLevel="0" collapsed="false">
      <c r="B19" s="49" t="s">
        <v>2963</v>
      </c>
      <c r="C19" s="835" t="n">
        <f aca="false">'Museum · Drivers'!C59</f>
        <v>0.4</v>
      </c>
      <c r="D19" s="800" t="n">
        <f aca="false">'Museum · Drivers'!C61</f>
        <v>76625.28</v>
      </c>
      <c r="E19" s="49" t="s">
        <v>3040</v>
      </c>
    </row>
    <row r="20" customFormat="false" ht="30" hidden="false" customHeight="true" outlineLevel="0" collapsed="false">
      <c r="B20" s="49" t="s">
        <v>3041</v>
      </c>
      <c r="C20" s="799" t="s">
        <v>3042</v>
      </c>
      <c r="D20" s="799" t="s">
        <v>3043</v>
      </c>
      <c r="E20" s="49" t="s">
        <v>3044</v>
      </c>
    </row>
    <row r="21" customFormat="false" ht="30" hidden="false" customHeight="true" outlineLevel="0" collapsed="false">
      <c r="B21" s="49" t="s">
        <v>3045</v>
      </c>
      <c r="C21" s="799" t="s">
        <v>3046</v>
      </c>
      <c r="D21" s="799" t="s">
        <v>3043</v>
      </c>
      <c r="E21" s="49" t="s">
        <v>3047</v>
      </c>
    </row>
    <row r="22" customFormat="false" ht="15" hidden="false" customHeight="true" outlineLevel="0" collapsed="false">
      <c r="B22" s="6"/>
      <c r="E22" s="6"/>
    </row>
    <row r="23" customFormat="false" ht="15" hidden="false" customHeight="true" outlineLevel="0" collapsed="false">
      <c r="B23" s="6"/>
      <c r="E23" s="6"/>
    </row>
    <row r="24" customFormat="false" ht="24" hidden="false" customHeight="true" outlineLevel="0" collapsed="false">
      <c r="B24" s="3" t="s">
        <v>3048</v>
      </c>
      <c r="C24" s="3"/>
      <c r="D24" s="3"/>
      <c r="E24" s="3"/>
      <c r="F24" s="3"/>
      <c r="G24" s="3"/>
      <c r="H24" s="3"/>
      <c r="I24" s="3"/>
      <c r="J24" s="3"/>
      <c r="K24" s="3"/>
      <c r="L24" s="3"/>
      <c r="M24" s="3"/>
    </row>
    <row r="25" customFormat="false" ht="24" hidden="false" customHeight="true" outlineLevel="0" collapsed="false">
      <c r="B25" s="797" t="s">
        <v>206</v>
      </c>
      <c r="C25" s="798" t="s">
        <v>3049</v>
      </c>
      <c r="E25" s="6"/>
    </row>
    <row r="26" customFormat="false" ht="30" hidden="false" customHeight="true" outlineLevel="0" collapsed="false">
      <c r="B26" s="49" t="s">
        <v>903</v>
      </c>
      <c r="C26" s="836" t="n">
        <f aca="false">'Museum · Revenue'!E24</f>
        <v>488873.1</v>
      </c>
      <c r="E26" s="6"/>
    </row>
    <row r="27" customFormat="false" ht="30" hidden="false" customHeight="true" outlineLevel="0" collapsed="false">
      <c r="B27" s="49" t="s">
        <v>3050</v>
      </c>
      <c r="C27" s="836" t="n">
        <f aca="false">'Museum · Costs'!C24</f>
        <v>249036.2</v>
      </c>
      <c r="E27" s="6"/>
    </row>
    <row r="28" customFormat="false" ht="30" hidden="false" customHeight="true" outlineLevel="0" collapsed="false">
      <c r="B28" s="49" t="s">
        <v>209</v>
      </c>
      <c r="C28" s="836" t="n">
        <f aca="false">'Museum · Costs'!C37</f>
        <v>239836.9</v>
      </c>
      <c r="E28" s="6"/>
    </row>
    <row r="29" customFormat="false" ht="30" hidden="false" customHeight="true" outlineLevel="0" collapsed="false">
      <c r="B29" s="49" t="s">
        <v>139</v>
      </c>
      <c r="C29" s="837" t="n">
        <f aca="false">'Museum · Costs'!C37/'Museum · Revenue'!E24</f>
        <v>0.49059132114244</v>
      </c>
      <c r="E29" s="6"/>
    </row>
    <row r="30" customFormat="false" ht="15" hidden="false" customHeight="true" outlineLevel="0" collapsed="false">
      <c r="B30" s="6"/>
      <c r="E30" s="6"/>
    </row>
    <row r="31" customFormat="false" ht="15" hidden="false" customHeight="true" outlineLevel="0" collapsed="false">
      <c r="B31" s="6"/>
      <c r="E31" s="6"/>
    </row>
    <row r="32" customFormat="false" ht="120" hidden="false" customHeight="true" outlineLevel="0" collapsed="false">
      <c r="B32" s="757" t="s">
        <v>3051</v>
      </c>
      <c r="C32" s="757"/>
      <c r="D32" s="757"/>
      <c r="E32" s="757"/>
      <c r="F32" s="757"/>
      <c r="G32" s="757"/>
      <c r="H32" s="757"/>
      <c r="I32" s="757"/>
      <c r="J32" s="757"/>
      <c r="K32" s="757"/>
      <c r="L32" s="757"/>
      <c r="M32" s="757"/>
    </row>
  </sheetData>
  <mergeCells count="9">
    <mergeCell ref="B2:J2"/>
    <mergeCell ref="K2:M2"/>
    <mergeCell ref="B3:M3"/>
    <mergeCell ref="B5:M5"/>
    <mergeCell ref="B6:M6"/>
    <mergeCell ref="B9:M9"/>
    <mergeCell ref="B17:M17"/>
    <mergeCell ref="B24:M24"/>
    <mergeCell ref="B32:M3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95AD"/>
    <pageSetUpPr fitToPage="false"/>
  </sheetPr>
  <dimension ref="B1:L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2" min="3" style="0" width="11"/>
  </cols>
  <sheetData>
    <row r="1" customFormat="false" ht="15" hidden="false" customHeight="true" outlineLevel="0" collapsed="false">
      <c r="B1" s="6"/>
    </row>
    <row r="2" customFormat="false" ht="33.75" hidden="false" customHeight="true" outlineLevel="0" collapsed="false">
      <c r="B2" s="88" t="s">
        <v>3052</v>
      </c>
      <c r="C2" s="88"/>
      <c r="D2" s="88"/>
      <c r="E2" s="88"/>
      <c r="F2" s="88"/>
      <c r="G2" s="88"/>
      <c r="H2" s="88"/>
      <c r="I2" s="88"/>
      <c r="J2" s="88"/>
    </row>
    <row r="3" customFormat="false" ht="33.75" hidden="false" customHeight="true" outlineLevel="0" collapsed="false">
      <c r="B3" s="90" t="s">
        <v>3053</v>
      </c>
      <c r="C3" s="90"/>
      <c r="D3" s="90"/>
      <c r="E3" s="90"/>
      <c r="F3" s="90"/>
      <c r="G3" s="90"/>
      <c r="H3" s="90"/>
      <c r="I3" s="90"/>
      <c r="J3" s="90"/>
    </row>
    <row r="4" customFormat="false" ht="15" hidden="false" customHeight="true" outlineLevel="0" collapsed="false">
      <c r="B4" s="6"/>
    </row>
    <row r="5" customFormat="false" ht="21.75" hidden="false" customHeight="true" outlineLevel="0" collapsed="false">
      <c r="B5" s="439" t="s">
        <v>3054</v>
      </c>
      <c r="C5" s="637" t="s">
        <v>760</v>
      </c>
      <c r="D5" s="637" t="s">
        <v>908</v>
      </c>
      <c r="E5" s="637" t="s">
        <v>765</v>
      </c>
      <c r="F5" s="637" t="s">
        <v>770</v>
      </c>
      <c r="G5" s="637" t="s">
        <v>909</v>
      </c>
      <c r="H5" s="637" t="s">
        <v>910</v>
      </c>
      <c r="I5" s="637" t="s">
        <v>911</v>
      </c>
      <c r="J5" s="637" t="s">
        <v>912</v>
      </c>
    </row>
    <row r="6" customFormat="false" ht="33.75" hidden="false" customHeight="true" outlineLevel="0" collapsed="false">
      <c r="B6" s="722" t="s">
        <v>3055</v>
      </c>
    </row>
    <row r="7" customFormat="false" ht="15" hidden="false" customHeight="true" outlineLevel="0" collapsed="false">
      <c r="B7" s="6" t="s">
        <v>3056</v>
      </c>
      <c r="C7" s="114" t="n">
        <f aca="false">CapEx!E17/15</f>
        <v>263333.333333333</v>
      </c>
      <c r="D7" s="114" t="n">
        <f aca="false">CapEx!E17/15</f>
        <v>263333.333333333</v>
      </c>
      <c r="E7" s="114" t="n">
        <f aca="false">CapEx!E17/15</f>
        <v>263333.333333333</v>
      </c>
      <c r="F7" s="114" t="n">
        <f aca="false">CapEx!E17/15</f>
        <v>263333.333333333</v>
      </c>
      <c r="G7" s="114" t="n">
        <f aca="false">CapEx!E17/15</f>
        <v>263333.333333333</v>
      </c>
      <c r="H7" s="114" t="n">
        <f aca="false">CapEx!E17/15</f>
        <v>263333.333333333</v>
      </c>
      <c r="I7" s="114" t="n">
        <f aca="false">CapEx!E17/15</f>
        <v>263333.333333333</v>
      </c>
      <c r="J7" s="114" t="n">
        <f aca="false">CapEx!E17/15</f>
        <v>263333.333333333</v>
      </c>
    </row>
    <row r="8" customFormat="false" ht="15" hidden="false" customHeight="true" outlineLevel="0" collapsed="false">
      <c r="B8" s="6" t="s">
        <v>3057</v>
      </c>
      <c r="C8" s="114" t="n">
        <f aca="false">CapEx!E22/10+CapEx!E34/10+CapEx!E43/7+CapEx!E53/7</f>
        <v>1702571.42857143</v>
      </c>
      <c r="D8" s="114" t="n">
        <f aca="false">CapEx!E22/10+CapEx!E34/10+CapEx!E43/7+CapEx!E53/7</f>
        <v>1702571.42857143</v>
      </c>
      <c r="E8" s="114" t="n">
        <f aca="false">CapEx!E22/10+CapEx!E34/10+CapEx!E43/7+CapEx!E53/7</f>
        <v>1702571.42857143</v>
      </c>
      <c r="F8" s="114" t="n">
        <f aca="false">CapEx!E22/10+CapEx!E34/10+CapEx!E43/7+CapEx!E53/7</f>
        <v>1702571.42857143</v>
      </c>
      <c r="G8" s="114" t="n">
        <f aca="false">CapEx!E22/10+CapEx!E34/10+CapEx!E43/7+CapEx!E53/7</f>
        <v>1702571.42857143</v>
      </c>
      <c r="H8" s="114" t="n">
        <f aca="false">CapEx!E22/10+CapEx!E34/10+CapEx!E43/7+CapEx!E53/7</f>
        <v>1702571.42857143</v>
      </c>
      <c r="I8" s="114" t="n">
        <f aca="false">CapEx!E22/10+CapEx!E34/10+CapEx!E43/7+CapEx!E53/7</f>
        <v>1702571.42857143</v>
      </c>
      <c r="J8" s="838" t="n">
        <f aca="false">CapEx!E22/10+CapEx!E34/10</f>
        <v>1074000</v>
      </c>
    </row>
    <row r="9" customFormat="false" ht="21.75" hidden="false" customHeight="true" outlineLevel="0" collapsed="false">
      <c r="B9" s="439" t="s">
        <v>2237</v>
      </c>
      <c r="C9" s="839" t="n">
        <f aca="false">C7+C8</f>
        <v>1965904.76190476</v>
      </c>
      <c r="D9" s="839" t="n">
        <f aca="false">D7+D8</f>
        <v>1965904.76190476</v>
      </c>
      <c r="E9" s="839" t="n">
        <f aca="false">E7+E8</f>
        <v>1965904.76190476</v>
      </c>
      <c r="F9" s="839" t="n">
        <f aca="false">F7+F8</f>
        <v>1965904.76190476</v>
      </c>
      <c r="G9" s="839" t="n">
        <f aca="false">G7+G8</f>
        <v>1965904.76190476</v>
      </c>
      <c r="H9" s="839" t="n">
        <f aca="false">H7+H8</f>
        <v>1965904.76190476</v>
      </c>
      <c r="I9" s="839" t="n">
        <f aca="false">I7+I8</f>
        <v>1965904.76190476</v>
      </c>
      <c r="J9" s="839" t="n">
        <f aca="false">J7+J8</f>
        <v>1337333.33333333</v>
      </c>
    </row>
    <row r="10" customFormat="false" ht="15" hidden="false" customHeight="true" outlineLevel="0" collapsed="false">
      <c r="B10" s="6"/>
    </row>
    <row r="11" customFormat="false" ht="63.75" hidden="false" customHeight="true" outlineLevel="0" collapsed="false">
      <c r="B11" s="722" t="str">
        <f aca="false">"◆  EQUIPMENT  LOAN  AMORTIZATION  ($"&amp;TEXT(ABS(CapEx!D64)/1000000,"0.00")&amp;"M @ "&amp;TEXT(MASTER_ASSUMPTIONS!C44,"0.0%")&amp;" × "&amp;MASTER_ASSUMPTIONS!C45&amp;"yr level principal)"</f>
        <v>◆  EQUIPMENT  LOAN  AMORTIZATION  ($3.40M @ 7.0% × 7yr level principal)</v>
      </c>
    </row>
    <row r="12" customFormat="false" ht="15" hidden="false" customHeight="true" outlineLevel="0" collapsed="false">
      <c r="B12" s="113" t="s">
        <v>3058</v>
      </c>
      <c r="C12" s="114" t="n">
        <f aca="false">-CapEx!D64</f>
        <v>3402000</v>
      </c>
      <c r="D12" s="840" t="n">
        <f aca="false">C15</f>
        <v>2916000</v>
      </c>
      <c r="E12" s="840" t="n">
        <f aca="false">D15</f>
        <v>2430000</v>
      </c>
      <c r="F12" s="840" t="n">
        <f aca="false">E15</f>
        <v>1944000</v>
      </c>
      <c r="G12" s="840" t="n">
        <f aca="false">F15</f>
        <v>1458000</v>
      </c>
      <c r="H12" s="840" t="n">
        <f aca="false">G15</f>
        <v>972000</v>
      </c>
      <c r="I12" s="840" t="n">
        <f aca="false">H15</f>
        <v>486000</v>
      </c>
      <c r="J12" s="840" t="n">
        <f aca="false">I15</f>
        <v>0</v>
      </c>
    </row>
    <row r="13" customFormat="false" ht="15" hidden="false" customHeight="true" outlineLevel="0" collapsed="false">
      <c r="B13" s="126" t="s">
        <v>3059</v>
      </c>
      <c r="C13" s="840" t="n">
        <f aca="false">C12*0.07</f>
        <v>238140</v>
      </c>
      <c r="D13" s="840" t="n">
        <f aca="false">D12*0.07</f>
        <v>204120</v>
      </c>
      <c r="E13" s="840" t="n">
        <f aca="false">E12*0.07</f>
        <v>170100</v>
      </c>
      <c r="F13" s="840" t="n">
        <f aca="false">F12*0.07</f>
        <v>136080</v>
      </c>
      <c r="G13" s="840" t="n">
        <f aca="false">G12*0.07</f>
        <v>102060</v>
      </c>
      <c r="H13" s="840" t="n">
        <f aca="false">H12*0.07</f>
        <v>68040</v>
      </c>
      <c r="I13" s="840" t="n">
        <f aca="false">I12*0.07</f>
        <v>34020</v>
      </c>
      <c r="J13" s="838" t="n">
        <v>0</v>
      </c>
    </row>
    <row r="14" customFormat="false" ht="15" hidden="false" customHeight="true" outlineLevel="0" collapsed="false">
      <c r="B14" s="126" t="s">
        <v>3060</v>
      </c>
      <c r="C14" s="114" t="n">
        <f aca="false">-CapEx!D64/7</f>
        <v>486000</v>
      </c>
      <c r="D14" s="114" t="n">
        <f aca="false">-CapEx!D64/7</f>
        <v>486000</v>
      </c>
      <c r="E14" s="114" t="n">
        <f aca="false">-CapEx!D64/7</f>
        <v>486000</v>
      </c>
      <c r="F14" s="114" t="n">
        <f aca="false">-CapEx!D64/7</f>
        <v>486000</v>
      </c>
      <c r="G14" s="114" t="n">
        <f aca="false">-CapEx!D64/7</f>
        <v>486000</v>
      </c>
      <c r="H14" s="114" t="n">
        <f aca="false">-CapEx!D64/7</f>
        <v>486000</v>
      </c>
      <c r="I14" s="114" t="n">
        <f aca="false">-CapEx!D64/7</f>
        <v>486000</v>
      </c>
      <c r="J14" s="838" t="n">
        <v>0</v>
      </c>
    </row>
    <row r="15" customFormat="false" ht="15" hidden="false" customHeight="true" outlineLevel="0" collapsed="false">
      <c r="B15" s="645" t="s">
        <v>3061</v>
      </c>
      <c r="C15" s="841" t="n">
        <f aca="false">C12-C14</f>
        <v>2916000</v>
      </c>
      <c r="D15" s="841" t="n">
        <f aca="false">D12-D14</f>
        <v>2430000</v>
      </c>
      <c r="E15" s="841" t="n">
        <f aca="false">E12-E14</f>
        <v>1944000</v>
      </c>
      <c r="F15" s="841" t="n">
        <f aca="false">F12-F14</f>
        <v>1458000</v>
      </c>
      <c r="G15" s="841" t="n">
        <f aca="false">G12-G14</f>
        <v>972000</v>
      </c>
      <c r="H15" s="841" t="n">
        <f aca="false">H12-H14</f>
        <v>486000</v>
      </c>
      <c r="I15" s="841" t="n">
        <f aca="false">I12-I14</f>
        <v>0</v>
      </c>
      <c r="J15" s="841" t="n">
        <f aca="false">J12-J14</f>
        <v>0</v>
      </c>
    </row>
    <row r="16" customFormat="false" ht="15" hidden="false" customHeight="true" outlineLevel="0" collapsed="false">
      <c r="B16" s="6"/>
    </row>
    <row r="17" customFormat="false" ht="33.75" hidden="false" customHeight="true" outlineLevel="0" collapsed="false">
      <c r="B17" s="638" t="s">
        <v>3062</v>
      </c>
      <c r="C17" s="638"/>
      <c r="D17" s="638"/>
      <c r="E17" s="638"/>
      <c r="F17" s="638"/>
      <c r="G17" s="638"/>
      <c r="H17" s="638"/>
      <c r="I17" s="638"/>
      <c r="J17" s="638"/>
    </row>
    <row r="18" customFormat="false" ht="15" hidden="false" customHeight="true" outlineLevel="0" collapsed="false">
      <c r="B18" s="113" t="s">
        <v>3058</v>
      </c>
      <c r="C18" s="838" t="n">
        <v>1500000</v>
      </c>
      <c r="D18" s="840" t="n">
        <f aca="false">C20</f>
        <v>1000000</v>
      </c>
      <c r="E18" s="840" t="n">
        <f aca="false">D20</f>
        <v>500000</v>
      </c>
      <c r="F18" s="840" t="n">
        <f aca="false">E20</f>
        <v>0</v>
      </c>
      <c r="G18" s="840" t="n">
        <f aca="false">F20</f>
        <v>0</v>
      </c>
      <c r="H18" s="840" t="n">
        <f aca="false">G20</f>
        <v>0</v>
      </c>
      <c r="I18" s="840" t="n">
        <f aca="false">H20</f>
        <v>0</v>
      </c>
      <c r="J18" s="840" t="n">
        <f aca="false">I20</f>
        <v>0</v>
      </c>
    </row>
    <row r="19" customFormat="false" ht="15" hidden="false" customHeight="true" outlineLevel="0" collapsed="false">
      <c r="B19" s="113" t="s">
        <v>2245</v>
      </c>
      <c r="C19" s="838" t="n">
        <v>500000</v>
      </c>
      <c r="D19" s="838" t="n">
        <v>500000</v>
      </c>
      <c r="E19" s="838" t="n">
        <v>500000</v>
      </c>
      <c r="F19" s="838" t="n">
        <v>0</v>
      </c>
      <c r="G19" s="838" t="n">
        <v>0</v>
      </c>
      <c r="H19" s="838" t="n">
        <v>0</v>
      </c>
      <c r="I19" s="838" t="n">
        <v>0</v>
      </c>
      <c r="J19" s="838" t="n">
        <v>0</v>
      </c>
    </row>
    <row r="20" customFormat="false" ht="15" hidden="false" customHeight="true" outlineLevel="0" collapsed="false">
      <c r="B20" s="645" t="s">
        <v>3061</v>
      </c>
      <c r="C20" s="841" t="n">
        <f aca="false">MAX(0,C18-C19)</f>
        <v>1000000</v>
      </c>
      <c r="D20" s="841" t="n">
        <f aca="false">MAX(0,D18-D19)</f>
        <v>500000</v>
      </c>
      <c r="E20" s="841" t="n">
        <f aca="false">MAX(0,E18-E19)</f>
        <v>0</v>
      </c>
      <c r="F20" s="841" t="n">
        <f aca="false">MAX(0,F18-F19)</f>
        <v>0</v>
      </c>
      <c r="G20" s="841" t="n">
        <f aca="false">MAX(0,G18-G19)</f>
        <v>0</v>
      </c>
      <c r="H20" s="841" t="n">
        <f aca="false">MAX(0,H18-H19)</f>
        <v>0</v>
      </c>
      <c r="I20" s="841" t="n">
        <f aca="false">MAX(0,I18-I19)</f>
        <v>0</v>
      </c>
      <c r="J20" s="841" t="n">
        <f aca="false">MAX(0,J18-J19)</f>
        <v>0</v>
      </c>
    </row>
    <row r="21" customFormat="false" ht="15" hidden="false" customHeight="true" outlineLevel="0" collapsed="false">
      <c r="B21" s="6"/>
    </row>
    <row r="22" customFormat="false" ht="33.75" hidden="false" customHeight="true" outlineLevel="0" collapsed="false">
      <c r="B22" s="842" t="s">
        <v>3063</v>
      </c>
    </row>
    <row r="23" customFormat="false" ht="21.75" hidden="false" customHeight="true" outlineLevel="0" collapsed="false">
      <c r="B23" s="137" t="s">
        <v>3064</v>
      </c>
      <c r="C23" s="839" t="n">
        <f aca="false">C15+C20+C30</f>
        <v>4385760</v>
      </c>
      <c r="D23" s="839" t="n">
        <f aca="false">D15+D20+D30</f>
        <v>3282320</v>
      </c>
      <c r="E23" s="839" t="n">
        <f aca="false">E15+E20+E30</f>
        <v>2178880</v>
      </c>
      <c r="F23" s="839" t="n">
        <f aca="false">F15+F20+F30</f>
        <v>1575440</v>
      </c>
      <c r="G23" s="839" t="n">
        <f aca="false">G15+G20+G30</f>
        <v>972000</v>
      </c>
      <c r="H23" s="839" t="n">
        <f aca="false">H15+H20+H30</f>
        <v>486000</v>
      </c>
      <c r="I23" s="839" t="n">
        <f aca="false">I15+I20+I30</f>
        <v>0</v>
      </c>
      <c r="J23" s="839" t="n">
        <f aca="false">J15+J20+J30</f>
        <v>0</v>
      </c>
      <c r="K23" s="225" t="n">
        <f aca="false">K15+K20+K30</f>
        <v>0</v>
      </c>
      <c r="L23" s="225" t="n">
        <f aca="false">L15+L20+L30</f>
        <v>0</v>
      </c>
    </row>
    <row r="24" customFormat="false" ht="15" hidden="false" customHeight="true" outlineLevel="0" collapsed="false">
      <c r="B24" s="126" t="s">
        <v>3065</v>
      </c>
      <c r="C24" s="840" t="n">
        <f aca="false">C14+C19+C29</f>
        <v>1103440</v>
      </c>
      <c r="D24" s="840" t="n">
        <f aca="false">D14+D19+D29</f>
        <v>1103440</v>
      </c>
      <c r="E24" s="840" t="n">
        <f aca="false">E14+E19+E29</f>
        <v>1103440</v>
      </c>
      <c r="F24" s="840" t="n">
        <f aca="false">F14+F19+F29</f>
        <v>603440</v>
      </c>
      <c r="G24" s="840" t="n">
        <f aca="false">G14+G19+G29</f>
        <v>603440</v>
      </c>
      <c r="H24" s="840" t="n">
        <f aca="false">H14+H19+H29</f>
        <v>486000</v>
      </c>
      <c r="I24" s="840" t="n">
        <f aca="false">I14+I19+I29</f>
        <v>486000</v>
      </c>
      <c r="J24" s="840" t="n">
        <f aca="false">J14+J19+J29</f>
        <v>0</v>
      </c>
      <c r="K24" s="225" t="n">
        <f aca="false">K14+K19+K29</f>
        <v>0</v>
      </c>
      <c r="L24" s="225" t="n">
        <f aca="false">L14+L19+L29</f>
        <v>0</v>
      </c>
    </row>
    <row r="25" customFormat="false" ht="15" hidden="false" customHeight="true" outlineLevel="0" collapsed="false">
      <c r="B25" s="6"/>
    </row>
    <row r="26" customFormat="false" ht="33.75" hidden="false" customHeight="true" outlineLevel="0" collapsed="false">
      <c r="B26" s="180" t="s">
        <v>3066</v>
      </c>
    </row>
    <row r="27" customFormat="false" ht="15" hidden="false" customHeight="true" outlineLevel="0" collapsed="false">
      <c r="B27" s="6" t="s">
        <v>3058</v>
      </c>
      <c r="C27" s="170" t="n">
        <f aca="false">-CapEx!D68</f>
        <v>587200</v>
      </c>
      <c r="D27" s="225" t="n">
        <f aca="false">C30</f>
        <v>469760</v>
      </c>
      <c r="E27" s="225" t="n">
        <f aca="false">D30</f>
        <v>352320</v>
      </c>
      <c r="F27" s="225" t="n">
        <f aca="false">E30</f>
        <v>234880</v>
      </c>
      <c r="G27" s="225" t="n">
        <f aca="false">F30</f>
        <v>117440</v>
      </c>
      <c r="H27" s="215" t="n">
        <v>0</v>
      </c>
      <c r="I27" s="215" t="n">
        <v>0</v>
      </c>
      <c r="J27" s="215" t="n">
        <v>0</v>
      </c>
      <c r="K27" s="215" t="n">
        <v>0</v>
      </c>
      <c r="L27" s="215" t="n">
        <v>0</v>
      </c>
    </row>
    <row r="28" customFormat="false" ht="15" hidden="false" customHeight="true" outlineLevel="0" collapsed="false">
      <c r="B28" s="6" t="s">
        <v>3067</v>
      </c>
      <c r="C28" s="225" t="n">
        <f aca="false">C27*0.08</f>
        <v>46976</v>
      </c>
      <c r="D28" s="225" t="n">
        <f aca="false">D27*0.08</f>
        <v>37580.8</v>
      </c>
      <c r="E28" s="225" t="n">
        <f aca="false">E27*0.08</f>
        <v>28185.6</v>
      </c>
      <c r="F28" s="225" t="n">
        <f aca="false">F27*0.08</f>
        <v>18790.4</v>
      </c>
      <c r="G28" s="225" t="n">
        <f aca="false">G27*0.08</f>
        <v>9395.2</v>
      </c>
      <c r="H28" s="215" t="n">
        <v>0</v>
      </c>
      <c r="I28" s="215" t="n">
        <v>0</v>
      </c>
      <c r="J28" s="215" t="n">
        <v>0</v>
      </c>
      <c r="K28" s="215" t="n">
        <v>0</v>
      </c>
      <c r="L28" s="215" t="n">
        <v>0</v>
      </c>
    </row>
    <row r="29" customFormat="false" ht="15" hidden="false" customHeight="true" outlineLevel="0" collapsed="false">
      <c r="B29" s="6" t="s">
        <v>3068</v>
      </c>
      <c r="C29" s="170" t="n">
        <f aca="false">-CapEx!D68/5</f>
        <v>117440</v>
      </c>
      <c r="D29" s="170" t="n">
        <f aca="false">-CapEx!D68/5</f>
        <v>117440</v>
      </c>
      <c r="E29" s="170" t="n">
        <f aca="false">-CapEx!D68/5</f>
        <v>117440</v>
      </c>
      <c r="F29" s="170" t="n">
        <f aca="false">-CapEx!D68/5</f>
        <v>117440</v>
      </c>
      <c r="G29" s="170" t="n">
        <f aca="false">-CapEx!D68/5</f>
        <v>117440</v>
      </c>
      <c r="H29" s="215" t="n">
        <v>0</v>
      </c>
      <c r="I29" s="215" t="n">
        <v>0</v>
      </c>
      <c r="J29" s="215" t="n">
        <v>0</v>
      </c>
      <c r="K29" s="215" t="n">
        <v>0</v>
      </c>
      <c r="L29" s="215" t="n">
        <v>0</v>
      </c>
    </row>
    <row r="30" customFormat="false" ht="15" hidden="false" customHeight="true" outlineLevel="0" collapsed="false">
      <c r="B30" s="6" t="s">
        <v>3061</v>
      </c>
      <c r="C30" s="225" t="n">
        <f aca="false">C27-C29</f>
        <v>469760</v>
      </c>
      <c r="D30" s="225" t="n">
        <f aca="false">D27-D29</f>
        <v>352320</v>
      </c>
      <c r="E30" s="225" t="n">
        <f aca="false">E27-E29</f>
        <v>234880</v>
      </c>
      <c r="F30" s="225" t="n">
        <f aca="false">F27-F29</f>
        <v>117440</v>
      </c>
      <c r="G30" s="225" t="n">
        <f aca="false">G27-G29</f>
        <v>0</v>
      </c>
      <c r="H30" s="215" t="n">
        <v>0</v>
      </c>
      <c r="I30" s="215" t="n">
        <v>0</v>
      </c>
      <c r="J30" s="215" t="n">
        <v>0</v>
      </c>
      <c r="K30" s="215" t="n">
        <v>0</v>
      </c>
      <c r="L30" s="215" t="n">
        <v>0</v>
      </c>
    </row>
  </sheetData>
  <mergeCells count="3">
    <mergeCell ref="B2:J2"/>
    <mergeCell ref="B3:J3"/>
    <mergeCell ref="B17:J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C6A8A"/>
    <pageSetUpPr fitToPage="false"/>
  </sheetPr>
  <dimension ref="B1:H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28"/>
    <col collapsed="false" customWidth="true" hidden="false" outlineLevel="0" max="6" min="5" style="0" width="18"/>
    <col collapsed="false" customWidth="true" hidden="false" outlineLevel="0" max="7" min="7" style="0" width="11"/>
    <col collapsed="false" customWidth="true" hidden="false" outlineLevel="0" max="8" min="8" style="0" width="13"/>
  </cols>
  <sheetData>
    <row r="1" customFormat="false" ht="3.75" hidden="false" customHeight="true" outlineLevel="0" collapsed="false">
      <c r="B1" s="1"/>
      <c r="C1" s="2"/>
      <c r="D1" s="2"/>
      <c r="E1" s="1"/>
      <c r="F1" s="1"/>
      <c r="G1" s="1"/>
      <c r="H1" s="2"/>
    </row>
    <row r="2" customFormat="false" ht="36" hidden="false" customHeight="true" outlineLevel="0" collapsed="false">
      <c r="B2" s="88" t="s">
        <v>3069</v>
      </c>
      <c r="C2" s="88"/>
      <c r="D2" s="88"/>
      <c r="E2" s="88"/>
      <c r="F2" s="88"/>
      <c r="G2" s="88"/>
      <c r="H2" s="88"/>
    </row>
    <row r="3" customFormat="false" ht="51" hidden="false" customHeight="true" outlineLevel="0" collapsed="false">
      <c r="B3" s="90" t="s">
        <v>3070</v>
      </c>
      <c r="C3" s="90"/>
      <c r="D3" s="90"/>
      <c r="E3" s="90"/>
      <c r="F3" s="90"/>
      <c r="G3" s="90"/>
      <c r="H3" s="90"/>
    </row>
    <row r="4" customFormat="false" ht="15" hidden="false" customHeight="true" outlineLevel="0" collapsed="false">
      <c r="B4" s="6"/>
      <c r="E4" s="6"/>
      <c r="F4" s="6"/>
      <c r="G4" s="6"/>
    </row>
    <row r="5" customFormat="false" ht="21.75" hidden="false" customHeight="true" outlineLevel="0" collapsed="false">
      <c r="B5" s="43" t="s">
        <v>3071</v>
      </c>
      <c r="C5" s="43"/>
      <c r="D5" s="43"/>
      <c r="E5" s="43"/>
      <c r="F5" s="43"/>
      <c r="G5" s="43"/>
      <c r="H5" s="43"/>
    </row>
    <row r="6" customFormat="false" ht="81" hidden="false" customHeight="true" outlineLevel="0" collapsed="false">
      <c r="B6" s="843" t="s">
        <v>3072</v>
      </c>
      <c r="C6" s="844" t="s">
        <v>3073</v>
      </c>
      <c r="D6" s="844"/>
      <c r="E6" s="844"/>
      <c r="F6" s="844"/>
      <c r="G6" s="844"/>
      <c r="H6" s="844"/>
    </row>
    <row r="7" customFormat="false" ht="96" hidden="false" customHeight="true" outlineLevel="0" collapsed="false">
      <c r="B7" s="843" t="s">
        <v>3074</v>
      </c>
      <c r="C7" s="844" t="s">
        <v>3075</v>
      </c>
      <c r="D7" s="844"/>
      <c r="E7" s="844"/>
      <c r="F7" s="844"/>
      <c r="G7" s="844"/>
      <c r="H7" s="844"/>
    </row>
    <row r="8" customFormat="false" ht="81" hidden="false" customHeight="true" outlineLevel="0" collapsed="false">
      <c r="B8" s="845" t="s">
        <v>3076</v>
      </c>
      <c r="C8" s="846" t="s">
        <v>3077</v>
      </c>
      <c r="D8" s="846"/>
      <c r="E8" s="846"/>
      <c r="F8" s="846"/>
      <c r="G8" s="846"/>
      <c r="H8" s="846"/>
    </row>
    <row r="9" customFormat="false" ht="81" hidden="false" customHeight="true" outlineLevel="0" collapsed="false">
      <c r="B9" s="843" t="s">
        <v>3078</v>
      </c>
      <c r="C9" s="844" t="s">
        <v>3079</v>
      </c>
      <c r="D9" s="844"/>
      <c r="E9" s="844"/>
      <c r="F9" s="844"/>
      <c r="G9" s="844"/>
      <c r="H9" s="844"/>
    </row>
    <row r="10" customFormat="false" ht="66" hidden="false" customHeight="true" outlineLevel="0" collapsed="false">
      <c r="B10" s="847" t="s">
        <v>3080</v>
      </c>
      <c r="C10" s="848" t="s">
        <v>3081</v>
      </c>
      <c r="D10" s="848"/>
      <c r="E10" s="848"/>
      <c r="F10" s="848"/>
      <c r="G10" s="848"/>
      <c r="H10" s="848"/>
    </row>
    <row r="11" customFormat="false" ht="15" hidden="false" customHeight="true" outlineLevel="0" collapsed="false">
      <c r="B11" s="6"/>
      <c r="E11" s="6"/>
      <c r="F11" s="6"/>
      <c r="G11" s="6"/>
    </row>
    <row r="12" customFormat="false" ht="21.75" hidden="false" customHeight="true" outlineLevel="0" collapsed="false">
      <c r="B12" s="51" t="s">
        <v>3082</v>
      </c>
      <c r="C12" s="51"/>
      <c r="D12" s="51"/>
      <c r="E12" s="51"/>
      <c r="F12" s="51"/>
      <c r="G12" s="51"/>
      <c r="H12" s="51"/>
    </row>
    <row r="13" customFormat="false" ht="21.75" hidden="false" customHeight="true" outlineLevel="0" collapsed="false">
      <c r="B13" s="99" t="s">
        <v>84</v>
      </c>
      <c r="C13" s="551" t="s">
        <v>392</v>
      </c>
      <c r="D13" s="98" t="s">
        <v>1592</v>
      </c>
      <c r="E13" s="99" t="s">
        <v>1658</v>
      </c>
      <c r="F13" s="99" t="s">
        <v>3083</v>
      </c>
      <c r="G13" s="97" t="s">
        <v>3084</v>
      </c>
      <c r="H13" s="98" t="s">
        <v>136</v>
      </c>
    </row>
    <row r="14" customFormat="false" ht="51" hidden="false" customHeight="true" outlineLevel="0" collapsed="false">
      <c r="B14" s="849" t="n">
        <v>1</v>
      </c>
      <c r="C14" s="83" t="s">
        <v>2464</v>
      </c>
      <c r="D14" s="706" t="s">
        <v>3085</v>
      </c>
      <c r="E14" s="113" t="s">
        <v>3086</v>
      </c>
      <c r="F14" s="850" t="s">
        <v>1600</v>
      </c>
      <c r="G14" s="851" t="s">
        <v>3087</v>
      </c>
      <c r="H14" s="690" t="s">
        <v>1541</v>
      </c>
    </row>
    <row r="15" customFormat="false" ht="66" hidden="false" customHeight="true" outlineLevel="0" collapsed="false">
      <c r="B15" s="849" t="n">
        <v>2</v>
      </c>
      <c r="C15" s="83" t="s">
        <v>3088</v>
      </c>
      <c r="D15" s="706" t="s">
        <v>3089</v>
      </c>
      <c r="E15" s="113" t="s">
        <v>3090</v>
      </c>
      <c r="F15" s="850" t="s">
        <v>1600</v>
      </c>
      <c r="G15" s="851" t="s">
        <v>3091</v>
      </c>
      <c r="H15" s="690" t="s">
        <v>619</v>
      </c>
    </row>
    <row r="16" customFormat="false" ht="36" hidden="false" customHeight="true" outlineLevel="0" collapsed="false">
      <c r="B16" s="849" t="n">
        <v>3</v>
      </c>
      <c r="C16" s="83" t="s">
        <v>2424</v>
      </c>
      <c r="D16" s="706" t="s">
        <v>3092</v>
      </c>
      <c r="E16" s="113" t="s">
        <v>3086</v>
      </c>
      <c r="F16" s="852" t="s">
        <v>1604</v>
      </c>
      <c r="G16" s="851" t="s">
        <v>3093</v>
      </c>
      <c r="H16" s="690" t="s">
        <v>614</v>
      </c>
    </row>
    <row r="17" customFormat="false" ht="36" hidden="false" customHeight="true" outlineLevel="0" collapsed="false">
      <c r="B17" s="849" t="n">
        <v>4</v>
      </c>
      <c r="C17" s="83" t="s">
        <v>3094</v>
      </c>
      <c r="D17" s="706" t="s">
        <v>2472</v>
      </c>
      <c r="E17" s="113" t="s">
        <v>3095</v>
      </c>
      <c r="F17" s="850" t="s">
        <v>1600</v>
      </c>
      <c r="G17" s="851" t="s">
        <v>3096</v>
      </c>
      <c r="H17" s="690" t="s">
        <v>618</v>
      </c>
    </row>
    <row r="18" customFormat="false" ht="81" hidden="false" customHeight="true" outlineLevel="0" collapsed="false">
      <c r="B18" s="849" t="n">
        <v>5</v>
      </c>
      <c r="C18" s="83" t="s">
        <v>2421</v>
      </c>
      <c r="D18" s="706" t="s">
        <v>3097</v>
      </c>
      <c r="E18" s="113" t="s">
        <v>3098</v>
      </c>
      <c r="F18" s="852" t="s">
        <v>1604</v>
      </c>
      <c r="G18" s="851" t="s">
        <v>3099</v>
      </c>
      <c r="H18" s="690" t="s">
        <v>3100</v>
      </c>
    </row>
    <row r="19" customFormat="false" ht="36" hidden="false" customHeight="true" outlineLevel="0" collapsed="false">
      <c r="B19" s="849" t="n">
        <v>6</v>
      </c>
      <c r="C19" s="83" t="s">
        <v>2425</v>
      </c>
      <c r="D19" s="706" t="s">
        <v>2477</v>
      </c>
      <c r="E19" s="113" t="s">
        <v>3086</v>
      </c>
      <c r="F19" s="852" t="s">
        <v>1604</v>
      </c>
      <c r="G19" s="851" t="s">
        <v>3101</v>
      </c>
      <c r="H19" s="690" t="s">
        <v>2525</v>
      </c>
    </row>
    <row r="20" customFormat="false" ht="36" hidden="false" customHeight="true" outlineLevel="0" collapsed="false">
      <c r="B20" s="849" t="n">
        <v>7</v>
      </c>
      <c r="C20" s="83" t="s">
        <v>2327</v>
      </c>
      <c r="D20" s="706" t="s">
        <v>3102</v>
      </c>
      <c r="E20" s="113" t="s">
        <v>3098</v>
      </c>
      <c r="F20" s="852" t="s">
        <v>1604</v>
      </c>
      <c r="G20" s="851" t="s">
        <v>3103</v>
      </c>
      <c r="H20" s="690" t="s">
        <v>616</v>
      </c>
    </row>
    <row r="21" customFormat="false" ht="36" hidden="false" customHeight="true" outlineLevel="0" collapsed="false">
      <c r="B21" s="849" t="n">
        <v>8</v>
      </c>
      <c r="C21" s="83" t="s">
        <v>3104</v>
      </c>
      <c r="D21" s="706" t="s">
        <v>3105</v>
      </c>
      <c r="E21" s="113" t="s">
        <v>3095</v>
      </c>
      <c r="F21" s="850" t="s">
        <v>1600</v>
      </c>
      <c r="G21" s="851" t="s">
        <v>3106</v>
      </c>
      <c r="H21" s="690" t="s">
        <v>3100</v>
      </c>
    </row>
    <row r="22" customFormat="false" ht="36" hidden="false" customHeight="true" outlineLevel="0" collapsed="false">
      <c r="B22" s="849" t="n">
        <v>9</v>
      </c>
      <c r="C22" s="83" t="s">
        <v>3107</v>
      </c>
      <c r="D22" s="706" t="s">
        <v>3108</v>
      </c>
      <c r="E22" s="113" t="s">
        <v>3095</v>
      </c>
      <c r="F22" s="850" t="s">
        <v>1600</v>
      </c>
      <c r="G22" s="851" t="s">
        <v>3109</v>
      </c>
      <c r="H22" s="690" t="s">
        <v>3100</v>
      </c>
    </row>
    <row r="23" customFormat="false" ht="36" hidden="false" customHeight="true" outlineLevel="0" collapsed="false">
      <c r="B23" s="849" t="n">
        <v>10</v>
      </c>
      <c r="C23" s="83" t="s">
        <v>2426</v>
      </c>
      <c r="D23" s="706" t="s">
        <v>3110</v>
      </c>
      <c r="E23" s="113" t="s">
        <v>3111</v>
      </c>
      <c r="F23" s="853" t="s">
        <v>2765</v>
      </c>
      <c r="G23" s="851" t="s">
        <v>3112</v>
      </c>
      <c r="H23" s="690" t="s">
        <v>620</v>
      </c>
    </row>
    <row r="24" customFormat="false" ht="33.75" hidden="false" customHeight="true" outlineLevel="0" collapsed="false">
      <c r="B24" s="849" t="n">
        <v>11</v>
      </c>
      <c r="C24" s="83" t="s">
        <v>3113</v>
      </c>
      <c r="D24" s="706" t="s">
        <v>1803</v>
      </c>
      <c r="E24" s="113" t="s">
        <v>3095</v>
      </c>
      <c r="F24" s="850" t="s">
        <v>1600</v>
      </c>
      <c r="G24" s="851" t="s">
        <v>3114</v>
      </c>
      <c r="H24" s="690" t="s">
        <v>617</v>
      </c>
    </row>
    <row r="25" customFormat="false" ht="36" hidden="false" customHeight="true" outlineLevel="0" collapsed="false">
      <c r="B25" s="849" t="n">
        <v>12</v>
      </c>
      <c r="C25" s="83" t="s">
        <v>3115</v>
      </c>
      <c r="D25" s="706" t="s">
        <v>3116</v>
      </c>
      <c r="E25" s="113" t="s">
        <v>3086</v>
      </c>
      <c r="F25" s="850" t="s">
        <v>1600</v>
      </c>
      <c r="G25" s="851" t="s">
        <v>3117</v>
      </c>
      <c r="H25" s="690" t="s">
        <v>3118</v>
      </c>
    </row>
    <row r="26" customFormat="false" ht="81" hidden="false" customHeight="true" outlineLevel="0" collapsed="false">
      <c r="B26" s="849" t="n">
        <v>13</v>
      </c>
      <c r="C26" s="83" t="s">
        <v>3119</v>
      </c>
      <c r="D26" s="854" t="n">
        <f aca="false">CapEx!E55</f>
        <v>19090000</v>
      </c>
      <c r="E26" s="113" t="s">
        <v>3090</v>
      </c>
      <c r="F26" s="850" t="s">
        <v>3120</v>
      </c>
      <c r="G26" s="851" t="str">
        <f aca="false">"CASH CapEx $"&amp;TEXT(CapEx!E55/1000000,"0.00")&amp;"M (investor-deployed) + Contributed Assets $"&amp;TEXT(CapEx!E56/1000000,"0.00")&amp;"M (Lessor land, non-cash) = Total Project $"&amp;TEXT(CapEx!E54/1000000,"0.00")&amp;"M. Lessor signed LOI Apr 10, 2026. Equipment quotes from 3 vendors. SMIT MoU 12% direct subsidy. See CAPITAL_EFFICIENCY tab."</f>
        <v>CASH CapEx $19.09M (investor-deployed) + Contributed Assets $9.19M (Lessor land, non-cash) = Total Project $28.28M. Lessor signed LOI Apr 10, 2026. Equipment quotes from 3 vendors. SMIT MoU 12% direct subsidy. See CAPITAL_EFFICIENCY tab.</v>
      </c>
      <c r="H26" s="690" t="s">
        <v>106</v>
      </c>
    </row>
    <row r="27" customFormat="false" ht="51" hidden="false" customHeight="true" outlineLevel="0" collapsed="false">
      <c r="B27" s="849" t="n">
        <v>14</v>
      </c>
      <c r="C27" s="83" t="s">
        <v>3121</v>
      </c>
      <c r="D27" s="706" t="str">
        <f aca="false">"$"&amp;TEXT(CapEx!E56/1000000,"0.00")&amp;"M"</f>
        <v>$9.19M</v>
      </c>
      <c r="E27" s="113" t="s">
        <v>3090</v>
      </c>
      <c r="F27" s="850" t="s">
        <v>3120</v>
      </c>
      <c r="G27" s="851" t="str">
        <f aca="false">"Signed Lease + LOI Apr 10, 2026. Idriss commitment to develop 6,300 sqm at Al Qana sister site Casablanca. Contribution = land value + construction = $"&amp;TEXT(CapEx!E56/1000000,"0.00")&amp;"M."</f>
        <v>Signed Lease + LOI Apr 10, 2026. Idriss commitment to develop 6,300 sqm at Al Qana sister site Casablanca. Contribution = land value + construction = $9.19M.</v>
      </c>
      <c r="H27" s="690" t="s">
        <v>106</v>
      </c>
    </row>
    <row r="28" customFormat="false" ht="66" hidden="false" customHeight="true" outlineLevel="0" collapsed="false">
      <c r="B28" s="849" t="n">
        <v>15</v>
      </c>
      <c r="C28" s="83" t="s">
        <v>3122</v>
      </c>
      <c r="D28" s="706" t="s">
        <v>3123</v>
      </c>
      <c r="E28" s="113" t="s">
        <v>3090</v>
      </c>
      <c r="F28" s="850" t="s">
        <v>1600</v>
      </c>
      <c r="G28" s="851" t="s">
        <v>3124</v>
      </c>
      <c r="H28" s="690" t="s">
        <v>106</v>
      </c>
    </row>
    <row r="29" customFormat="false" ht="51" hidden="false" customHeight="true" outlineLevel="0" collapsed="false">
      <c r="B29" s="849" t="n">
        <v>16</v>
      </c>
      <c r="C29" s="83" t="s">
        <v>335</v>
      </c>
      <c r="D29" s="706" t="s">
        <v>3125</v>
      </c>
      <c r="E29" s="113" t="s">
        <v>3090</v>
      </c>
      <c r="F29" s="850" t="s">
        <v>3120</v>
      </c>
      <c r="G29" s="851" t="s">
        <v>3126</v>
      </c>
      <c r="H29" s="690" t="s">
        <v>3127</v>
      </c>
    </row>
    <row r="30" customFormat="false" ht="81" hidden="false" customHeight="true" outlineLevel="0" collapsed="false">
      <c r="B30" s="849" t="n">
        <v>17</v>
      </c>
      <c r="C30" s="83" t="s">
        <v>3128</v>
      </c>
      <c r="D30" s="706" t="str">
        <f aca="false">"LP "&amp;TEXT(MASTER_ASSUMPTIONS!C15,"0.0%")</f>
        <v>LP 45.0%</v>
      </c>
      <c r="E30" s="113" t="s">
        <v>3111</v>
      </c>
      <c r="F30" s="852" t="s">
        <v>1604</v>
      </c>
      <c r="G30" s="851" t="str">
        <f aca="false">"Round 1: $"&amp;TEXT(MASTER_ASSUMPTIONS!C13/1000000,"0.00")&amp;"M for "&amp;TEXT(MASTER_ASSUMPTIONS!C15,"0.0%")&amp;" at $"&amp;TEXT(MASTER_ASSUMPTIONS!C14/1000000,"0.00")&amp;"M post-money (v67 locked). Round 2 (2027): 33% pure secondary at $"&amp;TEXT(MASTER_ASSUMPTIONS!C19/1000000,"0")&amp;"M. Exit (2029): $"&amp;TEXT(MASTER_ASSUMPTIONS!C26/1000000,"0")&amp;"M BVC IPO with strategic anchor."</f>
        <v>Round 1: $7.82M for 45.0% at $17.38M post-money (v67 locked). Round 2 (2027): 33% pure secondary at $20M. Exit (2029): $35M BVC IPO with strategic anchor.</v>
      </c>
      <c r="H30" s="690" t="s">
        <v>3127</v>
      </c>
    </row>
    <row r="31" customFormat="false" ht="36" hidden="false" customHeight="true" outlineLevel="0" collapsed="false">
      <c r="B31" s="849" t="n">
        <v>18</v>
      </c>
      <c r="C31" s="83" t="s">
        <v>3129</v>
      </c>
      <c r="D31" s="706" t="s">
        <v>2838</v>
      </c>
      <c r="E31" s="113" t="s">
        <v>3086</v>
      </c>
      <c r="F31" s="850" t="s">
        <v>1600</v>
      </c>
      <c r="G31" s="851" t="s">
        <v>3130</v>
      </c>
      <c r="H31" s="690" t="s">
        <v>3100</v>
      </c>
    </row>
    <row r="32" customFormat="false" ht="36" hidden="false" customHeight="true" outlineLevel="0" collapsed="false">
      <c r="B32" s="849" t="n">
        <v>19</v>
      </c>
      <c r="C32" s="83" t="s">
        <v>3131</v>
      </c>
      <c r="D32" s="706" t="s">
        <v>2374</v>
      </c>
      <c r="E32" s="113" t="s">
        <v>3095</v>
      </c>
      <c r="F32" s="850" t="s">
        <v>1600</v>
      </c>
      <c r="G32" s="851" t="s">
        <v>3132</v>
      </c>
      <c r="H32" s="690" t="s">
        <v>3133</v>
      </c>
    </row>
    <row r="33" customFormat="false" ht="36" hidden="false" customHeight="true" outlineLevel="0" collapsed="false">
      <c r="B33" s="849" t="n">
        <v>20</v>
      </c>
      <c r="C33" s="83" t="s">
        <v>3134</v>
      </c>
      <c r="D33" s="706" t="s">
        <v>3135</v>
      </c>
      <c r="E33" s="113" t="s">
        <v>3095</v>
      </c>
      <c r="F33" s="850" t="s">
        <v>1600</v>
      </c>
      <c r="G33" s="851" t="s">
        <v>3136</v>
      </c>
      <c r="H33" s="690" t="s">
        <v>3133</v>
      </c>
    </row>
    <row r="34" customFormat="false" ht="15" hidden="false" customHeight="true" outlineLevel="0" collapsed="false">
      <c r="B34" s="6"/>
      <c r="E34" s="6"/>
      <c r="F34" s="6"/>
      <c r="G34" s="6"/>
    </row>
    <row r="35" customFormat="false" ht="21.75" hidden="false" customHeight="true" outlineLevel="0" collapsed="false">
      <c r="B35" s="43" t="s">
        <v>3137</v>
      </c>
      <c r="C35" s="43"/>
      <c r="D35" s="43"/>
      <c r="E35" s="43"/>
      <c r="F35" s="43"/>
      <c r="G35" s="43"/>
      <c r="H35" s="43"/>
    </row>
    <row r="36" customFormat="false" ht="96" hidden="false" customHeight="true" outlineLevel="0" collapsed="false">
      <c r="B36" s="81" t="s">
        <v>3138</v>
      </c>
      <c r="C36" s="57" t="s">
        <v>3139</v>
      </c>
      <c r="D36" s="57"/>
      <c r="E36" s="57"/>
      <c r="F36" s="57"/>
      <c r="G36" s="57"/>
      <c r="H36" s="57"/>
    </row>
    <row r="37" customFormat="false" ht="21.75" hidden="false" customHeight="true" outlineLevel="0" collapsed="false">
      <c r="B37" s="81" t="s">
        <v>3140</v>
      </c>
      <c r="C37" s="57" t="s">
        <v>3141</v>
      </c>
      <c r="D37" s="57"/>
      <c r="E37" s="57"/>
      <c r="F37" s="57"/>
      <c r="G37" s="57"/>
      <c r="H37" s="57"/>
    </row>
    <row r="38" customFormat="false" ht="111" hidden="false" customHeight="true" outlineLevel="0" collapsed="false">
      <c r="B38" s="81" t="s">
        <v>3142</v>
      </c>
      <c r="C38" s="855" t="s">
        <v>3143</v>
      </c>
      <c r="E38" s="6"/>
      <c r="F38" s="6"/>
      <c r="G38" s="6"/>
    </row>
    <row r="39" customFormat="false" ht="15" hidden="false" customHeight="true" outlineLevel="0" collapsed="false">
      <c r="B39" s="6"/>
      <c r="E39" s="6"/>
      <c r="F39" s="6"/>
      <c r="G39" s="6"/>
    </row>
    <row r="40" customFormat="false" ht="36" hidden="false" customHeight="true" outlineLevel="0" collapsed="false">
      <c r="B40" s="159" t="s">
        <v>3144</v>
      </c>
      <c r="E40" s="6"/>
      <c r="F40" s="6"/>
      <c r="G40" s="6"/>
    </row>
    <row r="41" customFormat="false" ht="15" hidden="false" customHeight="true" outlineLevel="0" collapsed="false">
      <c r="B41" s="6"/>
      <c r="E41" s="6"/>
      <c r="F41" s="6"/>
      <c r="G41" s="6"/>
    </row>
    <row r="42" customFormat="false" ht="15" hidden="false" customHeight="true" outlineLevel="0" collapsed="false">
      <c r="B42" s="159" t="s">
        <v>3145</v>
      </c>
      <c r="C42" s="193" t="s">
        <v>3146</v>
      </c>
      <c r="D42" s="193" t="s">
        <v>1658</v>
      </c>
      <c r="E42" s="159" t="s">
        <v>3147</v>
      </c>
      <c r="F42" s="6"/>
      <c r="G42" s="6"/>
    </row>
    <row r="43" customFormat="false" ht="15" hidden="false" customHeight="true" outlineLevel="0" collapsed="false">
      <c r="B43" s="6" t="s">
        <v>3148</v>
      </c>
      <c r="C43" s="0" t="s">
        <v>3149</v>
      </c>
      <c r="D43" s="0" t="s">
        <v>3150</v>
      </c>
      <c r="E43" s="856" t="s">
        <v>3151</v>
      </c>
      <c r="F43" s="6"/>
      <c r="G43" s="6"/>
    </row>
    <row r="44" customFormat="false" ht="81" hidden="false" customHeight="true" outlineLevel="0" collapsed="false">
      <c r="B44" s="6" t="s">
        <v>3152</v>
      </c>
      <c r="C44" s="0" t="s">
        <v>3153</v>
      </c>
      <c r="D44" s="0" t="s">
        <v>3154</v>
      </c>
      <c r="E44" s="856" t="s">
        <v>3151</v>
      </c>
      <c r="F44" s="6"/>
      <c r="G44" s="6"/>
    </row>
    <row r="45" customFormat="false" ht="15" hidden="false" customHeight="true" outlineLevel="0" collapsed="false">
      <c r="B45" s="6" t="s">
        <v>3155</v>
      </c>
      <c r="C45" s="0" t="s">
        <v>3156</v>
      </c>
      <c r="D45" s="0" t="s">
        <v>3157</v>
      </c>
      <c r="E45" s="856" t="s">
        <v>3151</v>
      </c>
      <c r="F45" s="6"/>
      <c r="G45" s="6"/>
    </row>
    <row r="46" customFormat="false" ht="15" hidden="false" customHeight="true" outlineLevel="0" collapsed="false">
      <c r="B46" s="6" t="s">
        <v>3158</v>
      </c>
      <c r="C46" s="0" t="s">
        <v>3159</v>
      </c>
      <c r="D46" s="0" t="s">
        <v>3160</v>
      </c>
      <c r="E46" s="856" t="s">
        <v>3151</v>
      </c>
      <c r="F46" s="6"/>
      <c r="G46" s="6"/>
    </row>
    <row r="47" customFormat="false" ht="15" hidden="false" customHeight="true" outlineLevel="0" collapsed="false">
      <c r="B47" s="6" t="s">
        <v>3161</v>
      </c>
      <c r="C47" s="0" t="s">
        <v>3162</v>
      </c>
      <c r="D47" s="0" t="s">
        <v>3163</v>
      </c>
      <c r="E47" s="856" t="s">
        <v>3151</v>
      </c>
      <c r="F47" s="6"/>
      <c r="G47" s="6"/>
    </row>
    <row r="48" customFormat="false" ht="15" hidden="false" customHeight="true" outlineLevel="0" collapsed="false">
      <c r="B48" s="6" t="s">
        <v>3164</v>
      </c>
      <c r="C48" s="0" t="s">
        <v>3165</v>
      </c>
      <c r="D48" s="0" t="s">
        <v>3166</v>
      </c>
      <c r="E48" s="856" t="s">
        <v>3151</v>
      </c>
      <c r="F48" s="6"/>
      <c r="G48" s="6"/>
    </row>
    <row r="49" customFormat="false" ht="15" hidden="false" customHeight="true" outlineLevel="0" collapsed="false">
      <c r="B49" s="6" t="s">
        <v>3167</v>
      </c>
      <c r="C49" s="0" t="s">
        <v>3168</v>
      </c>
      <c r="D49" s="0" t="s">
        <v>3169</v>
      </c>
      <c r="E49" s="856" t="s">
        <v>3151</v>
      </c>
      <c r="F49" s="6"/>
      <c r="G49" s="6"/>
    </row>
    <row r="50" customFormat="false" ht="51" hidden="false" customHeight="true" outlineLevel="0" collapsed="false">
      <c r="B50" s="6" t="s">
        <v>3170</v>
      </c>
      <c r="C50" s="0" t="s">
        <v>3171</v>
      </c>
      <c r="D50" s="0" t="s">
        <v>3172</v>
      </c>
      <c r="E50" s="856" t="s">
        <v>3151</v>
      </c>
      <c r="F50" s="6"/>
      <c r="G50" s="6"/>
    </row>
    <row r="51" customFormat="false" ht="51" hidden="false" customHeight="true" outlineLevel="0" collapsed="false">
      <c r="B51" s="6" t="s">
        <v>3173</v>
      </c>
      <c r="C51" s="0" t="s">
        <v>3174</v>
      </c>
      <c r="D51" s="0" t="s">
        <v>3175</v>
      </c>
      <c r="E51" s="857" t="s">
        <v>3176</v>
      </c>
      <c r="F51" s="6"/>
      <c r="G51" s="6"/>
    </row>
    <row r="52" customFormat="false" ht="81" hidden="false" customHeight="true" outlineLevel="0" collapsed="false">
      <c r="B52" s="6" t="s">
        <v>3177</v>
      </c>
      <c r="C52" s="0" t="s">
        <v>3178</v>
      </c>
      <c r="D52" s="0" t="s">
        <v>3179</v>
      </c>
      <c r="E52" s="857" t="s">
        <v>3176</v>
      </c>
      <c r="F52" s="6"/>
      <c r="G52" s="6"/>
    </row>
    <row r="53" customFormat="false" ht="81" hidden="false" customHeight="true" outlineLevel="0" collapsed="false">
      <c r="B53" s="6" t="s">
        <v>3180</v>
      </c>
      <c r="C53" s="0" t="s">
        <v>3181</v>
      </c>
      <c r="D53" s="0" t="s">
        <v>3182</v>
      </c>
      <c r="E53" s="857" t="s">
        <v>3176</v>
      </c>
      <c r="F53" s="6"/>
      <c r="G53" s="6"/>
    </row>
  </sheetData>
  <mergeCells count="12">
    <mergeCell ref="B2:H2"/>
    <mergeCell ref="B3:H3"/>
    <mergeCell ref="B5:H5"/>
    <mergeCell ref="C6:H6"/>
    <mergeCell ref="C7:H7"/>
    <mergeCell ref="C8:H8"/>
    <mergeCell ref="C9:H9"/>
    <mergeCell ref="C10:H10"/>
    <mergeCell ref="B12:H12"/>
    <mergeCell ref="B35:H35"/>
    <mergeCell ref="C36:H36"/>
    <mergeCell ref="C37:H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873A"/>
    <pageSetUpPr fitToPage="false"/>
  </sheetPr>
  <dimension ref="B1:H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3" min="2" style="0" width="26"/>
    <col collapsed="false" customWidth="true" hidden="false" outlineLevel="0" max="8" min="4" style="0" width="11"/>
  </cols>
  <sheetData>
    <row r="1" customFormat="false" ht="3.75" hidden="false" customHeight="true" outlineLevel="0" collapsed="false">
      <c r="B1" s="1"/>
      <c r="C1" s="1"/>
      <c r="D1" s="2"/>
      <c r="E1" s="2"/>
      <c r="F1" s="2"/>
      <c r="G1" s="1"/>
      <c r="H1" s="2"/>
    </row>
    <row r="2" customFormat="false" ht="51" hidden="false" customHeight="true" outlineLevel="0" collapsed="false">
      <c r="B2" s="88" t="s">
        <v>3183</v>
      </c>
      <c r="C2" s="88"/>
      <c r="D2" s="88"/>
      <c r="E2" s="88"/>
      <c r="F2" s="88"/>
      <c r="G2" s="88"/>
      <c r="H2" s="88"/>
    </row>
    <row r="3" customFormat="false" ht="66" hidden="false" customHeight="true" outlineLevel="0" collapsed="false">
      <c r="B3" s="90" t="s">
        <v>3184</v>
      </c>
      <c r="C3" s="90"/>
      <c r="D3" s="90"/>
      <c r="E3" s="90"/>
      <c r="F3" s="90"/>
      <c r="G3" s="90"/>
      <c r="H3" s="90"/>
    </row>
    <row r="4" customFormat="false" ht="15" hidden="false" customHeight="true" outlineLevel="0" collapsed="false">
      <c r="B4" s="6"/>
      <c r="C4" s="6"/>
      <c r="G4" s="6"/>
    </row>
    <row r="5" customFormat="false" ht="21.75" hidden="false" customHeight="true" outlineLevel="0" collapsed="false">
      <c r="B5" s="43" t="s">
        <v>3185</v>
      </c>
      <c r="C5" s="43"/>
      <c r="D5" s="43"/>
      <c r="E5" s="43"/>
      <c r="F5" s="43"/>
      <c r="G5" s="43"/>
      <c r="H5" s="43"/>
    </row>
    <row r="6" customFormat="false" ht="51" hidden="false" customHeight="true" outlineLevel="0" collapsed="false">
      <c r="B6" s="843" t="s">
        <v>3186</v>
      </c>
      <c r="C6" s="858" t="s">
        <v>3187</v>
      </c>
      <c r="D6" s="858"/>
      <c r="E6" s="858"/>
      <c r="F6" s="858"/>
      <c r="G6" s="858"/>
      <c r="H6" s="858"/>
    </row>
    <row r="7" customFormat="false" ht="36" hidden="false" customHeight="true" outlineLevel="0" collapsed="false">
      <c r="B7" s="859" t="s">
        <v>3188</v>
      </c>
      <c r="C7" s="860" t="s">
        <v>3189</v>
      </c>
      <c r="D7" s="860"/>
      <c r="E7" s="860"/>
      <c r="F7" s="860"/>
      <c r="G7" s="860"/>
      <c r="H7" s="860"/>
    </row>
    <row r="8" customFormat="false" ht="51" hidden="false" customHeight="true" outlineLevel="0" collapsed="false">
      <c r="B8" s="845" t="s">
        <v>3190</v>
      </c>
      <c r="C8" s="861" t="s">
        <v>3191</v>
      </c>
      <c r="D8" s="861"/>
      <c r="E8" s="861"/>
      <c r="F8" s="861"/>
      <c r="G8" s="861"/>
      <c r="H8" s="861"/>
    </row>
    <row r="9" customFormat="false" ht="36" hidden="false" customHeight="true" outlineLevel="0" collapsed="false">
      <c r="B9" s="847" t="s">
        <v>3192</v>
      </c>
      <c r="C9" s="862" t="s">
        <v>3193</v>
      </c>
      <c r="D9" s="862"/>
      <c r="E9" s="862"/>
      <c r="F9" s="862"/>
      <c r="G9" s="862"/>
      <c r="H9" s="862"/>
    </row>
    <row r="10" customFormat="false" ht="15" hidden="false" customHeight="true" outlineLevel="0" collapsed="false">
      <c r="B10" s="6"/>
      <c r="C10" s="6"/>
      <c r="G10" s="6"/>
    </row>
    <row r="11" customFormat="false" ht="21.75" hidden="false" customHeight="true" outlineLevel="0" collapsed="false">
      <c r="B11" s="51" t="s">
        <v>3194</v>
      </c>
      <c r="C11" s="51"/>
      <c r="D11" s="51"/>
      <c r="E11" s="51"/>
      <c r="F11" s="51"/>
      <c r="G11" s="51"/>
      <c r="H11" s="51"/>
    </row>
    <row r="12" customFormat="false" ht="31.5" hidden="false" customHeight="true" outlineLevel="0" collapsed="false">
      <c r="B12" s="97" t="s">
        <v>392</v>
      </c>
      <c r="C12" s="99" t="s">
        <v>136</v>
      </c>
      <c r="D12" s="411" t="s">
        <v>3195</v>
      </c>
      <c r="E12" s="411" t="s">
        <v>3196</v>
      </c>
      <c r="F12" s="411" t="s">
        <v>3197</v>
      </c>
      <c r="G12" s="97" t="s">
        <v>3198</v>
      </c>
      <c r="H12" s="411" t="s">
        <v>3083</v>
      </c>
    </row>
    <row r="13" customFormat="false" ht="36" hidden="false" customHeight="true" outlineLevel="0" collapsed="false">
      <c r="B13" s="113" t="s">
        <v>3199</v>
      </c>
      <c r="C13" s="863" t="s">
        <v>3100</v>
      </c>
      <c r="D13" s="455" t="n">
        <v>900</v>
      </c>
      <c r="E13" s="864" t="s">
        <v>3200</v>
      </c>
      <c r="F13" s="865" t="s">
        <v>3201</v>
      </c>
      <c r="G13" s="866" t="s">
        <v>3202</v>
      </c>
      <c r="H13" s="677" t="s">
        <v>3203</v>
      </c>
    </row>
    <row r="14" customFormat="false" ht="33.75" hidden="false" customHeight="true" outlineLevel="0" collapsed="false">
      <c r="B14" s="113" t="s">
        <v>3204</v>
      </c>
      <c r="C14" s="863" t="s">
        <v>3100</v>
      </c>
      <c r="D14" s="455" t="s">
        <v>3205</v>
      </c>
      <c r="E14" s="864" t="s">
        <v>3206</v>
      </c>
      <c r="F14" s="865" t="s">
        <v>3201</v>
      </c>
      <c r="G14" s="866" t="s">
        <v>3207</v>
      </c>
      <c r="H14" s="677" t="s">
        <v>3203</v>
      </c>
    </row>
    <row r="15" customFormat="false" ht="31.5" hidden="false" customHeight="true" outlineLevel="0" collapsed="false">
      <c r="B15" s="113" t="s">
        <v>3208</v>
      </c>
      <c r="C15" s="863" t="s">
        <v>3100</v>
      </c>
      <c r="D15" s="455" t="s">
        <v>3209</v>
      </c>
      <c r="E15" s="864" t="s">
        <v>3210</v>
      </c>
      <c r="F15" s="867" t="s">
        <v>3211</v>
      </c>
      <c r="G15" s="866" t="s">
        <v>3212</v>
      </c>
      <c r="H15" s="868" t="s">
        <v>3213</v>
      </c>
    </row>
    <row r="16" customFormat="false" ht="31.5" hidden="false" customHeight="true" outlineLevel="0" collapsed="false">
      <c r="B16" s="113" t="s">
        <v>3214</v>
      </c>
      <c r="C16" s="863" t="s">
        <v>3100</v>
      </c>
      <c r="D16" s="455" t="s">
        <v>1793</v>
      </c>
      <c r="E16" s="864" t="s">
        <v>3215</v>
      </c>
      <c r="F16" s="865" t="s">
        <v>3201</v>
      </c>
      <c r="G16" s="866" t="s">
        <v>3216</v>
      </c>
      <c r="H16" s="677" t="s">
        <v>3203</v>
      </c>
    </row>
    <row r="17" customFormat="false" ht="36" hidden="false" customHeight="true" outlineLevel="0" collapsed="false">
      <c r="B17" s="113" t="s">
        <v>3217</v>
      </c>
      <c r="C17" s="863" t="s">
        <v>3100</v>
      </c>
      <c r="D17" s="455" t="s">
        <v>3218</v>
      </c>
      <c r="E17" s="864" t="s">
        <v>3219</v>
      </c>
      <c r="F17" s="869" t="s">
        <v>3220</v>
      </c>
      <c r="G17" s="866" t="s">
        <v>3221</v>
      </c>
      <c r="H17" s="868" t="s">
        <v>3213</v>
      </c>
    </row>
    <row r="18" customFormat="false" ht="36" hidden="false" customHeight="true" outlineLevel="0" collapsed="false">
      <c r="B18" s="113" t="s">
        <v>2464</v>
      </c>
      <c r="C18" s="863" t="s">
        <v>1541</v>
      </c>
      <c r="D18" s="455" t="n">
        <v>6</v>
      </c>
      <c r="E18" s="864" t="s">
        <v>3222</v>
      </c>
      <c r="F18" s="869" t="s">
        <v>3220</v>
      </c>
      <c r="G18" s="866" t="s">
        <v>3223</v>
      </c>
      <c r="H18" s="868" t="s">
        <v>3213</v>
      </c>
    </row>
    <row r="19" customFormat="false" ht="33.75" hidden="false" customHeight="true" outlineLevel="0" collapsed="false">
      <c r="B19" s="113" t="s">
        <v>3224</v>
      </c>
      <c r="C19" s="863" t="s">
        <v>1541</v>
      </c>
      <c r="D19" s="455" t="s">
        <v>3225</v>
      </c>
      <c r="E19" s="864" t="s">
        <v>3226</v>
      </c>
      <c r="F19" s="869" t="s">
        <v>3220</v>
      </c>
      <c r="G19" s="866" t="s">
        <v>3227</v>
      </c>
      <c r="H19" s="677" t="s">
        <v>3203</v>
      </c>
    </row>
    <row r="20" customFormat="false" ht="36" hidden="false" customHeight="true" outlineLevel="0" collapsed="false">
      <c r="B20" s="113" t="s">
        <v>3228</v>
      </c>
      <c r="C20" s="863" t="s">
        <v>1541</v>
      </c>
      <c r="D20" s="455" t="n">
        <v>24</v>
      </c>
      <c r="E20" s="864" t="s">
        <v>3229</v>
      </c>
      <c r="F20" s="870" t="s">
        <v>3230</v>
      </c>
      <c r="G20" s="866" t="s">
        <v>3231</v>
      </c>
      <c r="H20" s="675" t="s">
        <v>3232</v>
      </c>
    </row>
    <row r="21" customFormat="false" ht="31.5" hidden="false" customHeight="true" outlineLevel="0" collapsed="false">
      <c r="B21" s="113" t="s">
        <v>3233</v>
      </c>
      <c r="C21" s="863" t="s">
        <v>1541</v>
      </c>
      <c r="D21" s="455" t="n">
        <v>192</v>
      </c>
      <c r="E21" s="864" t="s">
        <v>3234</v>
      </c>
      <c r="F21" s="865" t="s">
        <v>3201</v>
      </c>
      <c r="G21" s="866" t="s">
        <v>3235</v>
      </c>
      <c r="H21" s="677" t="s">
        <v>3203</v>
      </c>
    </row>
    <row r="22" customFormat="false" ht="36" hidden="false" customHeight="true" outlineLevel="0" collapsed="false">
      <c r="B22" s="113" t="s">
        <v>3236</v>
      </c>
      <c r="C22" s="863" t="s">
        <v>614</v>
      </c>
      <c r="D22" s="455" t="n">
        <v>195</v>
      </c>
      <c r="E22" s="864" t="s">
        <v>3237</v>
      </c>
      <c r="F22" s="865" t="s">
        <v>3201</v>
      </c>
      <c r="G22" s="866" t="s">
        <v>3238</v>
      </c>
      <c r="H22" s="677" t="s">
        <v>3203</v>
      </c>
    </row>
    <row r="23" customFormat="false" ht="36" hidden="false" customHeight="true" outlineLevel="0" collapsed="false">
      <c r="B23" s="113" t="s">
        <v>3239</v>
      </c>
      <c r="C23" s="863" t="s">
        <v>614</v>
      </c>
      <c r="D23" s="455" t="s">
        <v>3240</v>
      </c>
      <c r="E23" s="864" t="s">
        <v>3241</v>
      </c>
      <c r="F23" s="869" t="s">
        <v>3220</v>
      </c>
      <c r="G23" s="866" t="s">
        <v>3242</v>
      </c>
      <c r="H23" s="677" t="s">
        <v>3203</v>
      </c>
    </row>
    <row r="24" customFormat="false" ht="31.5" hidden="false" customHeight="true" outlineLevel="0" collapsed="false">
      <c r="B24" s="113" t="s">
        <v>3243</v>
      </c>
      <c r="C24" s="863" t="s">
        <v>614</v>
      </c>
      <c r="D24" s="455" t="s">
        <v>3244</v>
      </c>
      <c r="E24" s="864" t="s">
        <v>3245</v>
      </c>
      <c r="F24" s="865" t="s">
        <v>3201</v>
      </c>
      <c r="G24" s="866" t="s">
        <v>3246</v>
      </c>
      <c r="H24" s="677" t="s">
        <v>3203</v>
      </c>
    </row>
    <row r="25" customFormat="false" ht="31.5" hidden="false" customHeight="true" outlineLevel="0" collapsed="false">
      <c r="B25" s="113" t="s">
        <v>3247</v>
      </c>
      <c r="C25" s="863" t="s">
        <v>614</v>
      </c>
      <c r="D25" s="455" t="s">
        <v>3248</v>
      </c>
      <c r="E25" s="864" t="s">
        <v>3249</v>
      </c>
      <c r="F25" s="865" t="s">
        <v>3201</v>
      </c>
      <c r="G25" s="866" t="s">
        <v>3250</v>
      </c>
      <c r="H25" s="677" t="s">
        <v>3203</v>
      </c>
    </row>
    <row r="26" customFormat="false" ht="36" hidden="false" customHeight="true" outlineLevel="0" collapsed="false">
      <c r="B26" s="113" t="s">
        <v>3251</v>
      </c>
      <c r="C26" s="863" t="s">
        <v>614</v>
      </c>
      <c r="D26" s="455" t="n">
        <v>15</v>
      </c>
      <c r="E26" s="864" t="s">
        <v>3252</v>
      </c>
      <c r="F26" s="870" t="s">
        <v>3230</v>
      </c>
      <c r="G26" s="866" t="s">
        <v>3253</v>
      </c>
      <c r="H26" s="868" t="s">
        <v>3213</v>
      </c>
    </row>
    <row r="27" customFormat="false" ht="31.5" hidden="false" customHeight="true" outlineLevel="0" collapsed="false">
      <c r="B27" s="113" t="s">
        <v>3254</v>
      </c>
      <c r="C27" s="863" t="s">
        <v>2525</v>
      </c>
      <c r="D27" s="455" t="s">
        <v>2477</v>
      </c>
      <c r="E27" s="864" t="s">
        <v>3255</v>
      </c>
      <c r="F27" s="867" t="s">
        <v>3211</v>
      </c>
      <c r="G27" s="866" t="s">
        <v>3256</v>
      </c>
      <c r="H27" s="868" t="s">
        <v>3213</v>
      </c>
    </row>
    <row r="28" customFormat="false" ht="31.5" hidden="false" customHeight="true" outlineLevel="0" collapsed="false">
      <c r="B28" s="113" t="s">
        <v>3257</v>
      </c>
      <c r="C28" s="863" t="s">
        <v>2525</v>
      </c>
      <c r="D28" s="455" t="s">
        <v>3258</v>
      </c>
      <c r="E28" s="864" t="s">
        <v>3259</v>
      </c>
      <c r="F28" s="869" t="s">
        <v>3220</v>
      </c>
      <c r="G28" s="866" t="s">
        <v>3260</v>
      </c>
      <c r="H28" s="677" t="s">
        <v>3203</v>
      </c>
    </row>
    <row r="29" customFormat="false" ht="31.5" hidden="false" customHeight="true" outlineLevel="0" collapsed="false">
      <c r="B29" s="113" t="s">
        <v>3261</v>
      </c>
      <c r="C29" s="863" t="s">
        <v>2525</v>
      </c>
      <c r="D29" s="455" t="n">
        <v>4</v>
      </c>
      <c r="E29" s="864" t="s">
        <v>3262</v>
      </c>
      <c r="F29" s="870" t="s">
        <v>3230</v>
      </c>
      <c r="G29" s="866" t="s">
        <v>3263</v>
      </c>
      <c r="H29" s="868" t="s">
        <v>3213</v>
      </c>
    </row>
    <row r="30" customFormat="false" ht="31.5" hidden="false" customHeight="true" outlineLevel="0" collapsed="false">
      <c r="B30" s="113" t="s">
        <v>3264</v>
      </c>
      <c r="C30" s="863" t="s">
        <v>616</v>
      </c>
      <c r="D30" s="455" t="n">
        <v>80</v>
      </c>
      <c r="E30" s="864" t="s">
        <v>3265</v>
      </c>
      <c r="F30" s="869" t="s">
        <v>3220</v>
      </c>
      <c r="G30" s="866" t="s">
        <v>3266</v>
      </c>
      <c r="H30" s="868" t="s">
        <v>3213</v>
      </c>
    </row>
    <row r="31" customFormat="false" ht="33.75" hidden="false" customHeight="true" outlineLevel="0" collapsed="false">
      <c r="B31" s="113" t="s">
        <v>3267</v>
      </c>
      <c r="C31" s="863" t="s">
        <v>616</v>
      </c>
      <c r="D31" s="455" t="s">
        <v>3268</v>
      </c>
      <c r="E31" s="864" t="s">
        <v>3269</v>
      </c>
      <c r="F31" s="869" t="s">
        <v>3220</v>
      </c>
      <c r="G31" s="866" t="s">
        <v>3270</v>
      </c>
      <c r="H31" s="677" t="s">
        <v>3203</v>
      </c>
    </row>
    <row r="32" customFormat="false" ht="31.5" hidden="false" customHeight="true" outlineLevel="0" collapsed="false">
      <c r="B32" s="113" t="s">
        <v>2471</v>
      </c>
      <c r="C32" s="863" t="s">
        <v>618</v>
      </c>
      <c r="D32" s="455" t="s">
        <v>2472</v>
      </c>
      <c r="E32" s="864" t="s">
        <v>3271</v>
      </c>
      <c r="F32" s="867" t="s">
        <v>3211</v>
      </c>
      <c r="G32" s="866" t="s">
        <v>3272</v>
      </c>
      <c r="H32" s="868" t="s">
        <v>3213</v>
      </c>
    </row>
    <row r="33" customFormat="false" ht="36" hidden="false" customHeight="true" outlineLevel="0" collapsed="false">
      <c r="B33" s="113" t="s">
        <v>3273</v>
      </c>
      <c r="C33" s="863" t="s">
        <v>618</v>
      </c>
      <c r="D33" s="455" t="s">
        <v>3274</v>
      </c>
      <c r="E33" s="864" t="s">
        <v>3275</v>
      </c>
      <c r="F33" s="865" t="s">
        <v>3201</v>
      </c>
      <c r="G33" s="866" t="s">
        <v>3276</v>
      </c>
      <c r="H33" s="677" t="s">
        <v>3203</v>
      </c>
    </row>
    <row r="34" customFormat="false" ht="31.5" hidden="false" customHeight="true" outlineLevel="0" collapsed="false">
      <c r="B34" s="113" t="s">
        <v>3277</v>
      </c>
      <c r="C34" s="863" t="s">
        <v>617</v>
      </c>
      <c r="D34" s="455" t="s">
        <v>1803</v>
      </c>
      <c r="E34" s="864" t="s">
        <v>3278</v>
      </c>
      <c r="F34" s="867" t="s">
        <v>3211</v>
      </c>
      <c r="G34" s="866" t="s">
        <v>3279</v>
      </c>
      <c r="H34" s="677" t="s">
        <v>3203</v>
      </c>
    </row>
    <row r="35" customFormat="false" ht="31.5" hidden="false" customHeight="true" outlineLevel="0" collapsed="false">
      <c r="B35" s="113" t="s">
        <v>2427</v>
      </c>
      <c r="C35" s="863" t="s">
        <v>617</v>
      </c>
      <c r="D35" s="455" t="s">
        <v>3280</v>
      </c>
      <c r="E35" s="864" t="s">
        <v>3281</v>
      </c>
      <c r="F35" s="870" t="s">
        <v>3230</v>
      </c>
      <c r="G35" s="866" t="s">
        <v>3282</v>
      </c>
      <c r="H35" s="868" t="s">
        <v>3213</v>
      </c>
    </row>
    <row r="36" customFormat="false" ht="36" hidden="false" customHeight="true" outlineLevel="0" collapsed="false">
      <c r="B36" s="113" t="s">
        <v>2466</v>
      </c>
      <c r="C36" s="863" t="s">
        <v>619</v>
      </c>
      <c r="D36" s="455" t="s">
        <v>1793</v>
      </c>
      <c r="E36" s="864" t="s">
        <v>3283</v>
      </c>
      <c r="F36" s="870" t="s">
        <v>3230</v>
      </c>
      <c r="G36" s="866" t="s">
        <v>3284</v>
      </c>
      <c r="H36" s="868" t="s">
        <v>3213</v>
      </c>
    </row>
    <row r="37" customFormat="false" ht="36" hidden="false" customHeight="true" outlineLevel="0" collapsed="false">
      <c r="B37" s="113" t="s">
        <v>3285</v>
      </c>
      <c r="C37" s="863" t="s">
        <v>619</v>
      </c>
      <c r="D37" s="455" t="s">
        <v>3286</v>
      </c>
      <c r="E37" s="864" t="s">
        <v>3287</v>
      </c>
      <c r="F37" s="869" t="s">
        <v>3220</v>
      </c>
      <c r="G37" s="866" t="s">
        <v>3288</v>
      </c>
      <c r="H37" s="677" t="s">
        <v>3203</v>
      </c>
    </row>
    <row r="38" customFormat="false" ht="31.5" hidden="false" customHeight="true" outlineLevel="0" collapsed="false">
      <c r="B38" s="113" t="s">
        <v>3289</v>
      </c>
      <c r="C38" s="863" t="s">
        <v>619</v>
      </c>
      <c r="D38" s="455" t="n">
        <v>10</v>
      </c>
      <c r="E38" s="864" t="s">
        <v>3290</v>
      </c>
      <c r="F38" s="870" t="s">
        <v>3230</v>
      </c>
      <c r="G38" s="866" t="s">
        <v>3291</v>
      </c>
      <c r="H38" s="868" t="s">
        <v>3213</v>
      </c>
    </row>
    <row r="39" customFormat="false" ht="36" hidden="false" customHeight="true" outlineLevel="0" collapsed="false">
      <c r="B39" s="113" t="s">
        <v>3292</v>
      </c>
      <c r="C39" s="863" t="s">
        <v>620</v>
      </c>
      <c r="D39" s="455" t="s">
        <v>3110</v>
      </c>
      <c r="E39" s="864" t="s">
        <v>3293</v>
      </c>
      <c r="F39" s="865" t="s">
        <v>3201</v>
      </c>
      <c r="G39" s="866" t="s">
        <v>3294</v>
      </c>
      <c r="H39" s="868" t="s">
        <v>3213</v>
      </c>
    </row>
    <row r="40" customFormat="false" ht="36" hidden="false" customHeight="true" outlineLevel="0" collapsed="false">
      <c r="B40" s="113" t="s">
        <v>3295</v>
      </c>
      <c r="C40" s="863" t="s">
        <v>3296</v>
      </c>
      <c r="D40" s="455" t="s">
        <v>2379</v>
      </c>
      <c r="E40" s="864" t="s">
        <v>3297</v>
      </c>
      <c r="F40" s="867" t="s">
        <v>3211</v>
      </c>
      <c r="G40" s="866" t="s">
        <v>3298</v>
      </c>
      <c r="H40" s="677" t="s">
        <v>3203</v>
      </c>
    </row>
    <row r="41" customFormat="false" ht="36" hidden="false" customHeight="true" outlineLevel="0" collapsed="false">
      <c r="B41" s="113" t="s">
        <v>3299</v>
      </c>
      <c r="C41" s="863" t="s">
        <v>3296</v>
      </c>
      <c r="D41" s="455" t="s">
        <v>3300</v>
      </c>
      <c r="E41" s="864" t="s">
        <v>3301</v>
      </c>
      <c r="F41" s="867" t="s">
        <v>3211</v>
      </c>
      <c r="G41" s="866" t="s">
        <v>3302</v>
      </c>
      <c r="H41" s="677" t="s">
        <v>3203</v>
      </c>
    </row>
    <row r="42" customFormat="false" ht="33.75" hidden="false" customHeight="true" outlineLevel="0" collapsed="false">
      <c r="B42" s="113" t="s">
        <v>3303</v>
      </c>
      <c r="C42" s="863" t="s">
        <v>3296</v>
      </c>
      <c r="D42" s="455" t="s">
        <v>3304</v>
      </c>
      <c r="E42" s="864" t="s">
        <v>3305</v>
      </c>
      <c r="F42" s="867" t="s">
        <v>3211</v>
      </c>
      <c r="G42" s="866" t="s">
        <v>3306</v>
      </c>
      <c r="H42" s="677" t="s">
        <v>3203</v>
      </c>
    </row>
    <row r="43" customFormat="false" ht="36" hidden="false" customHeight="true" outlineLevel="0" collapsed="false">
      <c r="B43" s="113" t="s">
        <v>3307</v>
      </c>
      <c r="C43" s="863" t="s">
        <v>106</v>
      </c>
      <c r="D43" s="455" t="str">
        <f aca="false">"Cash CapEx $"&amp;TEXT(CapEx!E55/1000000,"0.00")&amp;"M (Total Project $"&amp;TEXT(CapEx!E54/1000000,"0.00")&amp;"M incl. contributed)"</f>
        <v>Cash CapEx $19.09M (Total Project $28.28M incl. contributed)</v>
      </c>
      <c r="E43" s="864" t="s">
        <v>3308</v>
      </c>
      <c r="F43" s="870" t="s">
        <v>3230</v>
      </c>
      <c r="G43" s="866" t="str">
        <f aca="false">"Bottom-up build: Lessor $"&amp;TEXT(CapEx!E56/1000000,"0.00")&amp;"M + Fitout $4.2M + Gaming $4.5M + Equipment $3.96M + Software $1.25M + Pre-launch $3.15M"</f>
        <v>Bottom-up build: Lessor $9.19M + Fitout $4.2M + Gaming $4.5M + Equipment $3.96M + Software $1.25M + Pre-launch $3.15M</v>
      </c>
      <c r="H43" s="677" t="s">
        <v>3203</v>
      </c>
    </row>
    <row r="44" customFormat="false" ht="51" hidden="false" customHeight="true" outlineLevel="0" collapsed="false">
      <c r="B44" s="113" t="s">
        <v>3309</v>
      </c>
      <c r="C44" s="863" t="s">
        <v>106</v>
      </c>
      <c r="D44" s="455" t="s">
        <v>3310</v>
      </c>
      <c r="E44" s="864" t="s">
        <v>3311</v>
      </c>
      <c r="F44" s="867" t="s">
        <v>3211</v>
      </c>
      <c r="G44" s="866" t="str">
        <f aca="false">"Round 1 equity check (Y0 May 2026). $"&amp;TEXT(MASTER_ASSUMPTIONS!C14/1000000,"0.00")&amp;"M post-money valuation. See DEAL_ARCHITECTURE tab for full waterfall."</f>
        <v>Round 1 equity check (Y0 May 2026). $17.38M post-money valuation. See DEAL_ARCHITECTURE tab for full waterfall.</v>
      </c>
      <c r="H44" s="677" t="s">
        <v>3203</v>
      </c>
    </row>
    <row r="45" customFormat="false" ht="15" hidden="false" customHeight="true" outlineLevel="0" collapsed="false">
      <c r="B45" s="6"/>
      <c r="C45" s="6"/>
      <c r="G45" s="6"/>
    </row>
    <row r="46" customFormat="false" ht="21.75" hidden="false" customHeight="true" outlineLevel="0" collapsed="false">
      <c r="B46" s="43" t="s">
        <v>3312</v>
      </c>
      <c r="C46" s="43"/>
      <c r="D46" s="43"/>
      <c r="E46" s="43"/>
      <c r="F46" s="43"/>
      <c r="G46" s="43"/>
      <c r="H46" s="43"/>
    </row>
    <row r="47" customFormat="false" ht="15" hidden="false" customHeight="true" outlineLevel="0" collapsed="false">
      <c r="B47" s="871" t="s">
        <v>3313</v>
      </c>
      <c r="C47" s="863" t="str">
        <f aca="false">COUNTIF(F13:F44,"PIXOUL AD COMP")&amp;" Pixoul AD"</f>
        <v>9 Pixoul AD</v>
      </c>
      <c r="D47" s="706" t="str">
        <f aca="false">COUNTIF(F13:F44,"INDUSTRY BENCHMARK")&amp;" Industry"</f>
        <v>8 Industry</v>
      </c>
      <c r="E47" s="706" t="str">
        <f aca="false">COUNTIF(F13:F44,"CASA MARKET STUDY")&amp;" Casa"</f>
        <v>8 Casa</v>
      </c>
      <c r="F47" s="706" t="str">
        <f aca="false">COUNTIF(F13:F44,"MANAGEMENT ESTIMATE")&amp;" Mgmt est"</f>
        <v>7 Mgmt est</v>
      </c>
      <c r="G47" s="6"/>
    </row>
    <row r="48" customFormat="false" ht="15" hidden="false" customHeight="true" outlineLevel="0" collapsed="false">
      <c r="B48" s="871" t="s">
        <v>3314</v>
      </c>
      <c r="C48" s="863" t="str">
        <f aca="false">COUNTIF(H13:H44,"High")&amp;" High"</f>
        <v>19 High</v>
      </c>
      <c r="D48" s="706" t="str">
        <f aca="false">COUNTIF(H13:H44,"Medium")&amp;" Medium"</f>
        <v>12 Medium</v>
      </c>
      <c r="E48" s="706" t="str">
        <f aca="false">COUNTIF(H13:H44,"Low")&amp;" Low"</f>
        <v>1 Low</v>
      </c>
      <c r="G48" s="6"/>
    </row>
    <row r="49" customFormat="false" ht="15" hidden="false" customHeight="true" outlineLevel="0" collapsed="false">
      <c r="B49" s="6"/>
      <c r="C49" s="6"/>
      <c r="G49" s="6"/>
    </row>
    <row r="50" customFormat="false" ht="21.75" hidden="false" customHeight="true" outlineLevel="0" collapsed="false">
      <c r="B50" s="43" t="s">
        <v>3315</v>
      </c>
      <c r="C50" s="43"/>
      <c r="D50" s="43"/>
      <c r="E50" s="43"/>
      <c r="F50" s="43"/>
      <c r="G50" s="43"/>
      <c r="H50" s="43"/>
    </row>
    <row r="51" customFormat="false" ht="66" hidden="false" customHeight="true" outlineLevel="0" collapsed="false">
      <c r="B51" s="414" t="s">
        <v>3316</v>
      </c>
      <c r="C51" s="414"/>
      <c r="D51" s="414"/>
      <c r="E51" s="414"/>
      <c r="F51" s="414"/>
      <c r="G51" s="414"/>
      <c r="H51" s="414"/>
    </row>
    <row r="52" customFormat="false" ht="51" hidden="false" customHeight="true" outlineLevel="0" collapsed="false">
      <c r="B52" s="414" t="s">
        <v>3317</v>
      </c>
      <c r="C52" s="414"/>
      <c r="D52" s="414"/>
      <c r="E52" s="414"/>
      <c r="F52" s="414"/>
      <c r="G52" s="414"/>
      <c r="H52" s="414"/>
    </row>
    <row r="53" customFormat="false" ht="51" hidden="false" customHeight="true" outlineLevel="0" collapsed="false">
      <c r="B53" s="414" t="s">
        <v>3318</v>
      </c>
      <c r="C53" s="414"/>
      <c r="D53" s="414"/>
      <c r="E53" s="414"/>
      <c r="F53" s="414"/>
      <c r="G53" s="414"/>
      <c r="H53" s="414"/>
    </row>
    <row r="54" customFormat="false" ht="66" hidden="false" customHeight="true" outlineLevel="0" collapsed="false">
      <c r="B54" s="414" t="s">
        <v>3319</v>
      </c>
      <c r="C54" s="414"/>
      <c r="D54" s="414"/>
      <c r="E54" s="414"/>
      <c r="F54" s="414"/>
      <c r="G54" s="414"/>
      <c r="H54" s="414"/>
    </row>
    <row r="55" customFormat="false" ht="81" hidden="false" customHeight="true" outlineLevel="0" collapsed="false">
      <c r="B55" s="414" t="s">
        <v>3320</v>
      </c>
      <c r="C55" s="414"/>
      <c r="D55" s="414"/>
      <c r="E55" s="414"/>
      <c r="F55" s="414"/>
      <c r="G55" s="414"/>
      <c r="H55" s="414"/>
    </row>
    <row r="56" customFormat="false" ht="66" hidden="false" customHeight="true" outlineLevel="0" collapsed="false">
      <c r="B56" s="414" t="s">
        <v>3321</v>
      </c>
      <c r="C56" s="414"/>
      <c r="D56" s="414"/>
      <c r="E56" s="414"/>
      <c r="F56" s="414"/>
      <c r="G56" s="414"/>
      <c r="H56" s="414"/>
    </row>
    <row r="57" customFormat="false" ht="66" hidden="false" customHeight="true" outlineLevel="0" collapsed="false">
      <c r="B57" s="414" t="s">
        <v>3322</v>
      </c>
      <c r="C57" s="414"/>
      <c r="D57" s="414"/>
      <c r="E57" s="414"/>
      <c r="F57" s="414"/>
      <c r="G57" s="414"/>
      <c r="H57" s="414"/>
    </row>
  </sheetData>
  <mergeCells count="17">
    <mergeCell ref="B2:H2"/>
    <mergeCell ref="B3:H3"/>
    <mergeCell ref="B5:H5"/>
    <mergeCell ref="C6:H6"/>
    <mergeCell ref="C7:H7"/>
    <mergeCell ref="C8:H8"/>
    <mergeCell ref="C9:H9"/>
    <mergeCell ref="B11:H11"/>
    <mergeCell ref="B46:H46"/>
    <mergeCell ref="B50:H50"/>
    <mergeCell ref="B51:H51"/>
    <mergeCell ref="B52:H52"/>
    <mergeCell ref="B53:H53"/>
    <mergeCell ref="B54:H54"/>
    <mergeCell ref="B55:H55"/>
    <mergeCell ref="B56:H56"/>
    <mergeCell ref="B57:H5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C6A8A"/>
    <pageSetUpPr fitToPage="false"/>
  </sheetPr>
  <dimension ref="B1:G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28"/>
    <col collapsed="false" customWidth="true" hidden="false" outlineLevel="0" max="4" min="4" style="0" width="20"/>
    <col collapsed="false" customWidth="true" hidden="false" outlineLevel="0" max="5" min="5" style="0" width="28"/>
    <col collapsed="false" customWidth="true" hidden="false" outlineLevel="0" max="7" min="6" style="0" width="17"/>
  </cols>
  <sheetData>
    <row r="1" customFormat="false" ht="3.75" hidden="false" customHeight="true" outlineLevel="0" collapsed="false">
      <c r="B1" s="1"/>
      <c r="C1" s="1"/>
      <c r="D1" s="2"/>
      <c r="E1" s="2"/>
      <c r="F1" s="2"/>
      <c r="G1" s="2"/>
    </row>
    <row r="2" customFormat="false" ht="51" hidden="false" customHeight="true" outlineLevel="0" collapsed="false">
      <c r="B2" s="88" t="s">
        <v>3323</v>
      </c>
      <c r="C2" s="88"/>
      <c r="D2" s="88"/>
      <c r="E2" s="88"/>
      <c r="F2" s="88"/>
      <c r="G2" s="88"/>
    </row>
    <row r="3" customFormat="false" ht="81" hidden="false" customHeight="true" outlineLevel="0" collapsed="false">
      <c r="B3" s="90" t="s">
        <v>3324</v>
      </c>
      <c r="C3" s="90"/>
      <c r="D3" s="90"/>
      <c r="E3" s="90"/>
      <c r="F3" s="90"/>
      <c r="G3" s="90"/>
    </row>
    <row r="4" customFormat="false" ht="15" hidden="false" customHeight="true" outlineLevel="0" collapsed="false">
      <c r="B4" s="6"/>
      <c r="C4" s="6"/>
    </row>
    <row r="5" customFormat="false" ht="21.75" hidden="false" customHeight="true" outlineLevel="0" collapsed="false">
      <c r="B5" s="99" t="s">
        <v>749</v>
      </c>
      <c r="C5" s="99" t="s">
        <v>72</v>
      </c>
      <c r="D5" s="551" t="s">
        <v>3325</v>
      </c>
      <c r="E5" s="551" t="s">
        <v>3326</v>
      </c>
      <c r="F5" s="98" t="s">
        <v>1255</v>
      </c>
      <c r="G5" s="98" t="s">
        <v>669</v>
      </c>
    </row>
    <row r="6" customFormat="false" ht="42" hidden="false" customHeight="true" outlineLevel="0" collapsed="false">
      <c r="B6" s="849" t="s">
        <v>3327</v>
      </c>
      <c r="C6" s="55" t="s">
        <v>3328</v>
      </c>
      <c r="D6" s="81" t="s">
        <v>3329</v>
      </c>
      <c r="E6" s="113" t="s">
        <v>3330</v>
      </c>
      <c r="F6" s="576" t="s">
        <v>3331</v>
      </c>
      <c r="G6" s="872" t="s">
        <v>3332</v>
      </c>
    </row>
    <row r="7" customFormat="false" ht="51" hidden="false" customHeight="true" outlineLevel="0" collapsed="false">
      <c r="B7" s="849" t="s">
        <v>3333</v>
      </c>
      <c r="C7" s="55" t="s">
        <v>3334</v>
      </c>
      <c r="D7" s="81" t="s">
        <v>3335</v>
      </c>
      <c r="E7" s="113" t="s">
        <v>3336</v>
      </c>
      <c r="F7" s="576" t="s">
        <v>3337</v>
      </c>
      <c r="G7" s="872" t="s">
        <v>3332</v>
      </c>
    </row>
    <row r="8" customFormat="false" ht="42" hidden="false" customHeight="true" outlineLevel="0" collapsed="false">
      <c r="B8" s="849" t="s">
        <v>3338</v>
      </c>
      <c r="C8" s="55" t="s">
        <v>3339</v>
      </c>
      <c r="D8" s="81" t="s">
        <v>3340</v>
      </c>
      <c r="E8" s="113" t="s">
        <v>3341</v>
      </c>
      <c r="F8" s="576" t="s">
        <v>3342</v>
      </c>
      <c r="G8" s="872" t="s">
        <v>3332</v>
      </c>
    </row>
    <row r="9" customFormat="false" ht="42" hidden="false" customHeight="true" outlineLevel="0" collapsed="false">
      <c r="B9" s="849" t="s">
        <v>3343</v>
      </c>
      <c r="C9" s="55" t="s">
        <v>3344</v>
      </c>
      <c r="D9" s="81" t="s">
        <v>3345</v>
      </c>
      <c r="E9" s="113" t="s">
        <v>3346</v>
      </c>
      <c r="F9" s="576" t="s">
        <v>3347</v>
      </c>
      <c r="G9" s="872" t="s">
        <v>3332</v>
      </c>
    </row>
    <row r="10" customFormat="false" ht="36" hidden="false" customHeight="true" outlineLevel="0" collapsed="false">
      <c r="B10" s="849" t="s">
        <v>3348</v>
      </c>
      <c r="C10" s="55" t="s">
        <v>3349</v>
      </c>
      <c r="D10" s="81" t="s">
        <v>3350</v>
      </c>
      <c r="E10" s="113" t="s">
        <v>3351</v>
      </c>
      <c r="F10" s="576" t="s">
        <v>3352</v>
      </c>
      <c r="G10" s="873" t="s">
        <v>3353</v>
      </c>
    </row>
    <row r="11" customFormat="false" ht="36" hidden="false" customHeight="true" outlineLevel="0" collapsed="false">
      <c r="B11" s="849" t="s">
        <v>3354</v>
      </c>
      <c r="C11" s="55" t="s">
        <v>3355</v>
      </c>
      <c r="D11" s="81" t="s">
        <v>3356</v>
      </c>
      <c r="E11" s="113" t="s">
        <v>3357</v>
      </c>
      <c r="F11" s="576" t="s">
        <v>3358</v>
      </c>
      <c r="G11" s="873" t="s">
        <v>3353</v>
      </c>
    </row>
    <row r="12" customFormat="false" ht="51" hidden="false" customHeight="true" outlineLevel="0" collapsed="false">
      <c r="B12" s="849" t="s">
        <v>3359</v>
      </c>
      <c r="C12" s="55" t="s">
        <v>3360</v>
      </c>
      <c r="D12" s="81" t="s">
        <v>3361</v>
      </c>
      <c r="E12" s="113" t="s">
        <v>3362</v>
      </c>
      <c r="F12" s="576" t="s">
        <v>3363</v>
      </c>
      <c r="G12" s="873" t="s">
        <v>3353</v>
      </c>
    </row>
    <row r="13" customFormat="false" ht="36" hidden="false" customHeight="true" outlineLevel="0" collapsed="false">
      <c r="B13" s="849" t="s">
        <v>3364</v>
      </c>
      <c r="C13" s="55" t="s">
        <v>3365</v>
      </c>
      <c r="D13" s="81" t="s">
        <v>3366</v>
      </c>
      <c r="E13" s="113" t="s">
        <v>3367</v>
      </c>
      <c r="F13" s="576" t="s">
        <v>3368</v>
      </c>
      <c r="G13" s="873" t="s">
        <v>3353</v>
      </c>
    </row>
    <row r="14" customFormat="false" ht="51" hidden="false" customHeight="true" outlineLevel="0" collapsed="false">
      <c r="B14" s="849" t="s">
        <v>3364</v>
      </c>
      <c r="C14" s="55" t="s">
        <v>3369</v>
      </c>
      <c r="D14" s="81" t="s">
        <v>3370</v>
      </c>
      <c r="E14" s="113" t="s">
        <v>3371</v>
      </c>
      <c r="F14" s="576" t="s">
        <v>3372</v>
      </c>
      <c r="G14" s="873" t="s">
        <v>3353</v>
      </c>
    </row>
    <row r="15" customFormat="false" ht="36" hidden="false" customHeight="true" outlineLevel="0" collapsed="false">
      <c r="B15" s="849" t="s">
        <v>3364</v>
      </c>
      <c r="C15" s="55" t="s">
        <v>3373</v>
      </c>
      <c r="D15" s="81" t="s">
        <v>3374</v>
      </c>
      <c r="E15" s="113" t="s">
        <v>3375</v>
      </c>
      <c r="F15" s="576" t="s">
        <v>3376</v>
      </c>
      <c r="G15" s="873" t="s">
        <v>3353</v>
      </c>
    </row>
    <row r="16" customFormat="false" ht="36" hidden="false" customHeight="true" outlineLevel="0" collapsed="false">
      <c r="B16" s="849" t="s">
        <v>3364</v>
      </c>
      <c r="C16" s="55" t="s">
        <v>3377</v>
      </c>
      <c r="D16" s="81" t="s">
        <v>3378</v>
      </c>
      <c r="E16" s="113" t="s">
        <v>3379</v>
      </c>
      <c r="F16" s="576" t="s">
        <v>3380</v>
      </c>
      <c r="G16" s="873" t="s">
        <v>3353</v>
      </c>
    </row>
    <row r="17" customFormat="false" ht="36" hidden="false" customHeight="true" outlineLevel="0" collapsed="false">
      <c r="B17" s="849" t="s">
        <v>3364</v>
      </c>
      <c r="C17" s="55" t="s">
        <v>3381</v>
      </c>
      <c r="D17" s="81" t="s">
        <v>3382</v>
      </c>
      <c r="E17" s="113" t="s">
        <v>3383</v>
      </c>
      <c r="F17" s="576" t="s">
        <v>3384</v>
      </c>
      <c r="G17" s="873" t="s">
        <v>3353</v>
      </c>
    </row>
    <row r="18" customFormat="false" ht="51" hidden="false" customHeight="true" outlineLevel="0" collapsed="false">
      <c r="B18" s="849" t="s">
        <v>3364</v>
      </c>
      <c r="C18" s="55" t="s">
        <v>3385</v>
      </c>
      <c r="D18" s="81" t="s">
        <v>3386</v>
      </c>
      <c r="E18" s="113" t="s">
        <v>3387</v>
      </c>
      <c r="F18" s="576" t="s">
        <v>3388</v>
      </c>
      <c r="G18" s="873" t="s">
        <v>3353</v>
      </c>
    </row>
    <row r="19" customFormat="false" ht="51" hidden="false" customHeight="true" outlineLevel="0" collapsed="false">
      <c r="B19" s="849" t="s">
        <v>3364</v>
      </c>
      <c r="C19" s="55" t="s">
        <v>3389</v>
      </c>
      <c r="D19" s="81" t="s">
        <v>3390</v>
      </c>
      <c r="E19" s="113" t="s">
        <v>3391</v>
      </c>
      <c r="F19" s="576" t="s">
        <v>3392</v>
      </c>
      <c r="G19" s="873" t="s">
        <v>3353</v>
      </c>
    </row>
    <row r="20" customFormat="false" ht="66" hidden="false" customHeight="true" outlineLevel="0" collapsed="false">
      <c r="B20" s="849" t="s">
        <v>3364</v>
      </c>
      <c r="C20" s="55" t="s">
        <v>3393</v>
      </c>
      <c r="D20" s="81" t="s">
        <v>3394</v>
      </c>
      <c r="E20" s="113" t="s">
        <v>3395</v>
      </c>
      <c r="F20" s="576" t="s">
        <v>3396</v>
      </c>
      <c r="G20" s="873" t="s">
        <v>3353</v>
      </c>
    </row>
    <row r="21" customFormat="false" ht="15" hidden="false" customHeight="true" outlineLevel="0" collapsed="false">
      <c r="B21" s="6"/>
      <c r="C21" s="6"/>
    </row>
    <row r="22" customFormat="false" ht="126" hidden="false" customHeight="true" outlineLevel="0" collapsed="false">
      <c r="B22" s="85" t="s">
        <v>3397</v>
      </c>
      <c r="C22" s="85"/>
      <c r="D22" s="85"/>
      <c r="E22" s="85"/>
      <c r="F22" s="85"/>
      <c r="G22" s="85"/>
    </row>
    <row r="23" customFormat="false" ht="15" hidden="false" customHeight="true" outlineLevel="0" collapsed="false">
      <c r="B23" s="6" t="s">
        <v>3398</v>
      </c>
      <c r="C23" s="6" t="s">
        <v>3399</v>
      </c>
    </row>
    <row r="24" customFormat="false" ht="36" hidden="false" customHeight="true" outlineLevel="0" collapsed="false">
      <c r="B24" s="6" t="s">
        <v>3400</v>
      </c>
      <c r="C24" s="6" t="s">
        <v>3401</v>
      </c>
    </row>
    <row r="25" customFormat="false" ht="36" hidden="false" customHeight="true" outlineLevel="0" collapsed="false">
      <c r="B25" s="6" t="s">
        <v>3400</v>
      </c>
      <c r="C25" s="6" t="s">
        <v>3402</v>
      </c>
    </row>
    <row r="26" customFormat="false" ht="66" hidden="false" customHeight="true" outlineLevel="0" collapsed="false">
      <c r="B26" s="6" t="s">
        <v>3403</v>
      </c>
      <c r="C26" s="6" t="s">
        <v>3404</v>
      </c>
    </row>
    <row r="27" customFormat="false" ht="66" hidden="false" customHeight="true" outlineLevel="0" collapsed="false">
      <c r="B27" s="6" t="s">
        <v>3405</v>
      </c>
      <c r="C27" s="6" t="s">
        <v>3406</v>
      </c>
    </row>
    <row r="28" customFormat="false" ht="111" hidden="false" customHeight="true" outlineLevel="0" collapsed="false">
      <c r="B28" s="6" t="s">
        <v>3407</v>
      </c>
      <c r="C28" s="6" t="s">
        <v>3408</v>
      </c>
    </row>
    <row r="29" customFormat="false" ht="81" hidden="false" customHeight="true" outlineLevel="0" collapsed="false">
      <c r="B29" s="6" t="s">
        <v>3409</v>
      </c>
      <c r="C29" s="6" t="s">
        <v>3410</v>
      </c>
    </row>
    <row r="30" customFormat="false" ht="111" hidden="false" customHeight="true" outlineLevel="0" collapsed="false">
      <c r="B30" s="6" t="s">
        <v>3411</v>
      </c>
      <c r="C30" s="6" t="s">
        <v>3412</v>
      </c>
    </row>
    <row r="31" customFormat="false" ht="171" hidden="false" customHeight="true" outlineLevel="0" collapsed="false">
      <c r="B31" s="6" t="s">
        <v>3413</v>
      </c>
      <c r="C31" s="6" t="s">
        <v>3414</v>
      </c>
    </row>
    <row r="32" customFormat="false" ht="240" hidden="false" customHeight="true" outlineLevel="0" collapsed="false">
      <c r="B32" s="6" t="s">
        <v>3415</v>
      </c>
      <c r="C32" s="6" t="s">
        <v>3416</v>
      </c>
    </row>
    <row r="33" customFormat="false" ht="15" hidden="false" customHeight="true" outlineLevel="0" collapsed="false">
      <c r="B33" s="0" t="s">
        <v>3417</v>
      </c>
      <c r="C33" s="874" t="s">
        <v>3418</v>
      </c>
    </row>
    <row r="35" customFormat="false" ht="15" hidden="false" customHeight="true" outlineLevel="0" collapsed="false">
      <c r="B35" s="875" t="s">
        <v>3419</v>
      </c>
    </row>
    <row r="36" customFormat="false" ht="39.75" hidden="false" customHeight="true" outlineLevel="0" collapsed="false">
      <c r="B36" s="6" t="s">
        <v>3420</v>
      </c>
    </row>
    <row r="37" customFormat="false" ht="39.75" hidden="false" customHeight="true" outlineLevel="0" collapsed="false">
      <c r="B37" s="6" t="s">
        <v>3421</v>
      </c>
    </row>
    <row r="38" customFormat="false" ht="39.75" hidden="false" customHeight="true" outlineLevel="0" collapsed="false">
      <c r="B38" s="6" t="s">
        <v>3422</v>
      </c>
    </row>
    <row r="39" customFormat="false" ht="39.75" hidden="false" customHeight="true" outlineLevel="0" collapsed="false">
      <c r="B39" s="6" t="s">
        <v>3423</v>
      </c>
    </row>
    <row r="40" customFormat="false" ht="39.75" hidden="false" customHeight="true" outlineLevel="0" collapsed="false">
      <c r="B40" s="6" t="s">
        <v>3424</v>
      </c>
    </row>
    <row r="41" customFormat="false" ht="39.75" hidden="false" customHeight="true" outlineLevel="0" collapsed="false">
      <c r="B41" s="6" t="s">
        <v>3425</v>
      </c>
    </row>
    <row r="42" customFormat="false" ht="39.75" hidden="false" customHeight="true" outlineLevel="0" collapsed="false">
      <c r="B42" s="6" t="s">
        <v>3426</v>
      </c>
    </row>
    <row r="43" customFormat="false" ht="39.75" hidden="false" customHeight="true" outlineLevel="0" collapsed="false">
      <c r="B43" s="6" t="s">
        <v>3427</v>
      </c>
    </row>
    <row r="44" customFormat="false" ht="39.75" hidden="false" customHeight="true" outlineLevel="0" collapsed="false">
      <c r="B44" s="6" t="s">
        <v>3428</v>
      </c>
    </row>
    <row r="45" customFormat="false" ht="39.75" hidden="false" customHeight="true" outlineLevel="0" collapsed="false">
      <c r="B45" s="6" t="s">
        <v>3429</v>
      </c>
    </row>
    <row r="46" customFormat="false" ht="39.75" hidden="false" customHeight="true" outlineLevel="0" collapsed="false">
      <c r="B46" s="6" t="s">
        <v>3430</v>
      </c>
    </row>
  </sheetData>
  <mergeCells count="3">
    <mergeCell ref="B2:G2"/>
    <mergeCell ref="B3:G3"/>
    <mergeCell ref="B22:G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6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6" min="4" style="0" width="12"/>
    <col collapsed="false" customWidth="true" hidden="false" outlineLevel="0" max="7" min="7" style="0" width="9"/>
    <col collapsed="false" customWidth="true" hidden="false" outlineLevel="0" max="11" min="8" style="0" width="11"/>
    <col collapsed="false" customWidth="true" hidden="false" outlineLevel="0" max="12" min="12" style="0" width="9"/>
  </cols>
  <sheetData>
    <row r="1" customFormat="false" ht="3.75" hidden="false" customHeight="true" outlineLevel="0" collapsed="false">
      <c r="B1" s="876"/>
      <c r="C1" s="876"/>
      <c r="D1" s="876"/>
      <c r="E1" s="877"/>
      <c r="F1" s="877"/>
      <c r="G1" s="877"/>
      <c r="H1" s="877"/>
      <c r="I1" s="877"/>
      <c r="J1" s="877"/>
      <c r="K1" s="877"/>
      <c r="L1" s="877"/>
    </row>
    <row r="2" customFormat="false" ht="27.75" hidden="false" customHeight="true" outlineLevel="0" collapsed="false">
      <c r="B2" s="878" t="s">
        <v>3431</v>
      </c>
      <c r="C2" s="878"/>
      <c r="D2" s="878"/>
      <c r="E2" s="878"/>
      <c r="F2" s="878"/>
      <c r="G2" s="878"/>
      <c r="H2" s="878"/>
      <c r="I2" s="89" t="s">
        <v>3432</v>
      </c>
      <c r="J2" s="89"/>
      <c r="K2" s="89"/>
      <c r="L2" s="89"/>
    </row>
    <row r="3" customFormat="false" ht="33.75" hidden="false" customHeight="true" outlineLevel="0" collapsed="false">
      <c r="B3" s="90" t="s">
        <v>3433</v>
      </c>
      <c r="C3" s="90"/>
      <c r="D3" s="90"/>
      <c r="E3" s="90"/>
      <c r="F3" s="90"/>
      <c r="G3" s="90"/>
      <c r="H3" s="90"/>
      <c r="I3" s="90"/>
      <c r="J3" s="90"/>
      <c r="K3" s="90"/>
      <c r="L3" s="90"/>
    </row>
    <row r="4" customFormat="false" ht="15" hidden="false" customHeight="true" outlineLevel="0" collapsed="false">
      <c r="B4" s="6"/>
      <c r="C4" s="6"/>
      <c r="D4" s="6"/>
    </row>
    <row r="5" customFormat="false" ht="24" hidden="false" customHeight="true" outlineLevel="0" collapsed="false">
      <c r="B5" s="96" t="s">
        <v>3434</v>
      </c>
      <c r="C5" s="96"/>
      <c r="D5" s="96"/>
      <c r="E5" s="96"/>
      <c r="F5" s="96"/>
      <c r="H5" s="879" t="s">
        <v>3435</v>
      </c>
      <c r="I5" s="879"/>
      <c r="J5" s="879"/>
      <c r="K5" s="879"/>
    </row>
    <row r="6" customFormat="false" ht="31.5" hidden="false" customHeight="true" outlineLevel="0" collapsed="false">
      <c r="B6" s="880" t="s">
        <v>206</v>
      </c>
      <c r="C6" s="880" t="s">
        <v>3436</v>
      </c>
      <c r="D6" s="880" t="s">
        <v>208</v>
      </c>
      <c r="E6" s="881" t="s">
        <v>3437</v>
      </c>
      <c r="F6" s="881" t="s">
        <v>210</v>
      </c>
      <c r="H6" s="882" t="s">
        <v>3438</v>
      </c>
      <c r="I6" s="882"/>
      <c r="J6" s="882"/>
      <c r="K6" s="882"/>
    </row>
    <row r="7" customFormat="false" ht="37.5" hidden="false" customHeight="true" outlineLevel="0" collapsed="false">
      <c r="B7" s="81" t="s">
        <v>3439</v>
      </c>
      <c r="C7" s="883" t="n">
        <f aca="false">'Gaming · Revenue'!D58</f>
        <v>1000998.35</v>
      </c>
      <c r="D7" s="884" t="n">
        <f aca="false">'Gaming · Costs'!C29</f>
        <v>467490.852975</v>
      </c>
      <c r="E7" s="885" t="n">
        <f aca="false">'Gaming · Costs'!C35</f>
        <v>533507.497025</v>
      </c>
      <c r="F7" s="886" t="n">
        <f aca="false">'Gaming · Costs'!C35/'Gaming · Revenue'!D58</f>
        <v>0.532975401033378</v>
      </c>
      <c r="H7" s="887" t="str">
        <f aca="false">UPPER('Exec Summary'!$H$7)</f>
        <v>BASE</v>
      </c>
      <c r="I7" s="887"/>
      <c r="J7" s="887"/>
      <c r="K7" s="887"/>
    </row>
    <row r="8" customFormat="false" ht="15" hidden="false" customHeight="true" outlineLevel="0" collapsed="false">
      <c r="B8" s="6"/>
      <c r="C8" s="6"/>
      <c r="D8" s="6"/>
      <c r="H8" s="888" t="s">
        <v>3440</v>
      </c>
      <c r="I8" s="888"/>
      <c r="J8" s="888"/>
      <c r="K8" s="888"/>
    </row>
    <row r="9" customFormat="false" ht="15" hidden="false" customHeight="true" outlineLevel="0" collapsed="false">
      <c r="B9" s="6"/>
      <c r="C9" s="6"/>
      <c r="D9" s="6"/>
      <c r="H9" s="889" t="s">
        <v>3441</v>
      </c>
      <c r="I9" s="890" t="n">
        <f aca="false">IF($H$7="BEAR",0.6,IF($H$7="BULL",1.5,1))</f>
        <v>1</v>
      </c>
      <c r="J9" s="889" t="s">
        <v>3442</v>
      </c>
      <c r="K9" s="890" t="n">
        <f aca="false">IF($H$7="BEAR",0.85,IF($H$7="BULL",1.1,1))</f>
        <v>1</v>
      </c>
    </row>
    <row r="10" customFormat="false" ht="21.75" hidden="false" customHeight="true" outlineLevel="0" collapsed="false">
      <c r="B10" s="72" t="s">
        <v>3443</v>
      </c>
      <c r="C10" s="72"/>
      <c r="D10" s="72"/>
      <c r="E10" s="72"/>
      <c r="F10" s="72"/>
      <c r="H10" s="891" t="s">
        <v>3444</v>
      </c>
      <c r="I10" s="891"/>
      <c r="J10" s="891"/>
      <c r="K10" s="891"/>
    </row>
    <row r="11" customFormat="false" ht="27.75" hidden="false" customHeight="true" outlineLevel="0" collapsed="false">
      <c r="B11" s="880" t="s">
        <v>3445</v>
      </c>
      <c r="C11" s="880" t="s">
        <v>3446</v>
      </c>
      <c r="D11" s="880" t="s">
        <v>1052</v>
      </c>
      <c r="E11" s="881" t="s">
        <v>3447</v>
      </c>
      <c r="F11" s="881" t="s">
        <v>3448</v>
      </c>
      <c r="H11" s="892" t="n">
        <f aca="false">'Gaming · Revenue'!D58*I9</f>
        <v>1000998.35</v>
      </c>
      <c r="I11" s="892"/>
      <c r="J11" s="892"/>
      <c r="K11" s="892"/>
    </row>
    <row r="12" customFormat="false" ht="15" hidden="false" customHeight="true" outlineLevel="0" collapsed="false">
      <c r="B12" s="113" t="s">
        <v>3449</v>
      </c>
      <c r="C12" s="893" t="n">
        <f aca="false">'Gaming · Revenue'!D53</f>
        <v>603384.6</v>
      </c>
      <c r="D12" s="894" t="n">
        <f aca="false">C12/'Gaming · Revenue'!D58</f>
        <v>0.60278281177986</v>
      </c>
      <c r="E12" s="895" t="n">
        <f aca="false">'Gaming · Drivers'!C31</f>
        <v>451.5</v>
      </c>
      <c r="F12" s="895" t="n">
        <f aca="false">'Gaming · Drivers'!C32</f>
        <v>903</v>
      </c>
      <c r="H12" s="888" t="s">
        <v>3450</v>
      </c>
      <c r="I12" s="888"/>
      <c r="J12" s="888"/>
      <c r="K12" s="888"/>
    </row>
    <row r="13" customFormat="false" ht="15" hidden="false" customHeight="true" outlineLevel="0" collapsed="false">
      <c r="B13" s="113" t="s">
        <v>3451</v>
      </c>
      <c r="C13" s="893" t="n">
        <f aca="false">'Gaming · Revenue'!D54</f>
        <v>241068.75</v>
      </c>
      <c r="D13" s="894" t="n">
        <f aca="false">C13/'Gaming · Revenue'!D58</f>
        <v>0.240828319047679</v>
      </c>
      <c r="E13" s="895" t="n">
        <f aca="false">'Gaming · Drivers'!C53</f>
        <v>247.25</v>
      </c>
      <c r="F13" s="895" t="n">
        <f aca="false">'Gaming · Drivers'!C54</f>
        <v>1483.5</v>
      </c>
      <c r="H13" s="896" t="s">
        <v>3452</v>
      </c>
      <c r="I13" s="896"/>
      <c r="J13" s="896"/>
      <c r="K13" s="896"/>
    </row>
    <row r="14" customFormat="false" ht="15" hidden="false" customHeight="true" outlineLevel="0" collapsed="false">
      <c r="B14" s="113" t="s">
        <v>3453</v>
      </c>
      <c r="C14" s="893" t="n">
        <f aca="false">'Gaming · Revenue'!D55</f>
        <v>100620</v>
      </c>
      <c r="D14" s="894" t="n">
        <f aca="false">C14/'Gaming · Revenue'!D58</f>
        <v>0.100519646211205</v>
      </c>
      <c r="E14" s="895" t="n">
        <f aca="false">'Gaming · Drivers'!C68</f>
        <v>215</v>
      </c>
      <c r="F14" s="895" t="n">
        <f aca="false">'Gaming · Drivers'!C69</f>
        <v>1290</v>
      </c>
      <c r="H14" s="896"/>
      <c r="I14" s="896"/>
      <c r="J14" s="896"/>
      <c r="K14" s="896"/>
    </row>
    <row r="15" customFormat="false" ht="15" hidden="false" customHeight="true" outlineLevel="0" collapsed="false">
      <c r="B15" s="113" t="s">
        <v>3454</v>
      </c>
      <c r="C15" s="893" t="n">
        <f aca="false">'Gaming · Revenue'!D56</f>
        <v>41925</v>
      </c>
      <c r="D15" s="894" t="n">
        <f aca="false">C15/'Gaming · Revenue'!D58</f>
        <v>0.0418831859213354</v>
      </c>
      <c r="E15" s="897" t="s">
        <v>672</v>
      </c>
      <c r="H15" s="896"/>
      <c r="I15" s="896"/>
      <c r="J15" s="896"/>
      <c r="K15" s="896"/>
    </row>
    <row r="16" customFormat="false" ht="24" hidden="false" customHeight="true" outlineLevel="0" collapsed="false">
      <c r="B16" s="898" t="s">
        <v>3455</v>
      </c>
      <c r="C16" s="899" t="n">
        <f aca="false">'Gaming · Revenue'!D58</f>
        <v>1000998.35</v>
      </c>
      <c r="D16" s="900" t="n">
        <f aca="false">100%</f>
        <v>1</v>
      </c>
      <c r="E16" s="901" t="n">
        <f aca="false">'Gaming · Drivers'!C15</f>
        <v>1075</v>
      </c>
    </row>
    <row r="17" customFormat="false" ht="15" hidden="false" customHeight="true" outlineLevel="0" collapsed="false">
      <c r="B17" s="6"/>
      <c r="C17" s="6"/>
      <c r="D17" s="6"/>
    </row>
    <row r="18" customFormat="false" ht="15" hidden="false" customHeight="true" outlineLevel="0" collapsed="false">
      <c r="B18" s="6"/>
      <c r="C18" s="6"/>
      <c r="D18" s="6"/>
    </row>
    <row r="19" customFormat="false" ht="21.75" hidden="false" customHeight="true" outlineLevel="0" collapsed="false">
      <c r="B19" s="575" t="s">
        <v>3456</v>
      </c>
      <c r="C19" s="575"/>
      <c r="D19" s="575"/>
      <c r="E19" s="575"/>
      <c r="F19" s="575"/>
    </row>
    <row r="20" customFormat="false" ht="15" hidden="false" customHeight="true" outlineLevel="0" collapsed="false">
      <c r="B20" s="113" t="s">
        <v>3457</v>
      </c>
      <c r="C20" s="893" t="n">
        <f aca="false">'Gaming · 8-Year'!C11</f>
        <v>900898.515</v>
      </c>
      <c r="D20" s="6"/>
    </row>
    <row r="21" customFormat="false" ht="15" hidden="false" customHeight="true" outlineLevel="0" collapsed="false">
      <c r="B21" s="113" t="s">
        <v>3458</v>
      </c>
      <c r="C21" s="893" t="n">
        <f aca="false">'Gaming · 8-Year'!F11</f>
        <v>1093817.92400045</v>
      </c>
      <c r="D21" s="6"/>
    </row>
    <row r="22" customFormat="false" ht="15" hidden="false" customHeight="true" outlineLevel="0" collapsed="false">
      <c r="B22" s="113" t="s">
        <v>3459</v>
      </c>
      <c r="C22" s="893" t="n">
        <f aca="false">'Gaming · 8-Year'!J11</f>
        <v>1354211.88099826</v>
      </c>
      <c r="D22" s="6"/>
      <c r="J22" s="902"/>
    </row>
    <row r="23" customFormat="false" ht="15" hidden="false" customHeight="true" outlineLevel="0" collapsed="false">
      <c r="B23" s="903" t="s">
        <v>3460</v>
      </c>
      <c r="C23" s="904" t="n">
        <f aca="false">'Gaming · 8-Year'!K11</f>
        <v>9141363.2067162</v>
      </c>
      <c r="D23" s="6"/>
    </row>
    <row r="24" customFormat="false" ht="15" hidden="false" customHeight="true" outlineLevel="0" collapsed="false">
      <c r="B24" s="905" t="s">
        <v>3461</v>
      </c>
      <c r="C24" s="906" t="n">
        <f aca="false">'Gaming · 8-Year'!K20</f>
        <v>4941334.44018887</v>
      </c>
      <c r="D24" s="6"/>
    </row>
    <row r="25" customFormat="false" ht="48.75" hidden="false" customHeight="true" outlineLevel="0" collapsed="false">
      <c r="B25" s="113" t="s">
        <v>3462</v>
      </c>
      <c r="C25" s="894" t="n">
        <f aca="false">('Gaming · 8-Year'!J11/'Gaming · 8-Year'!C11)^(1/7)-1</f>
        <v>0.0599545654797864</v>
      </c>
      <c r="D25" s="6"/>
    </row>
    <row r="26" customFormat="false" ht="93.75" hidden="false" customHeight="true" outlineLevel="0" collapsed="false">
      <c r="B26" s="907" t="s">
        <v>3463</v>
      </c>
      <c r="C26" s="6"/>
      <c r="D26" s="6"/>
    </row>
    <row r="27" customFormat="false" ht="15" hidden="false" customHeight="true" outlineLevel="0" collapsed="false">
      <c r="B27" s="6"/>
      <c r="C27" s="6"/>
      <c r="D27" s="6"/>
    </row>
    <row r="28" customFormat="false" ht="21.75" hidden="false" customHeight="true" outlineLevel="0" collapsed="false">
      <c r="B28" s="908" t="s">
        <v>3464</v>
      </c>
      <c r="C28" s="908"/>
      <c r="D28" s="908"/>
      <c r="E28" s="908"/>
      <c r="F28" s="908"/>
    </row>
    <row r="29" customFormat="false" ht="15" hidden="false" customHeight="true" outlineLevel="0" collapsed="false">
      <c r="B29" s="880" t="s">
        <v>3465</v>
      </c>
      <c r="C29" s="880" t="s">
        <v>3466</v>
      </c>
      <c r="D29" s="880"/>
      <c r="E29" s="880"/>
      <c r="F29" s="880"/>
    </row>
    <row r="30" customFormat="false" ht="78.75" hidden="false" customHeight="true" outlineLevel="0" collapsed="false">
      <c r="B30" s="81" t="s">
        <v>3467</v>
      </c>
      <c r="C30" s="909" t="s">
        <v>3468</v>
      </c>
      <c r="D30" s="909"/>
      <c r="E30" s="909"/>
      <c r="F30" s="909"/>
    </row>
    <row r="31" customFormat="false" ht="48.75" hidden="false" customHeight="true" outlineLevel="0" collapsed="false">
      <c r="B31" s="81" t="s">
        <v>3469</v>
      </c>
      <c r="C31" s="909" t="s">
        <v>3470</v>
      </c>
      <c r="D31" s="909"/>
      <c r="E31" s="909"/>
      <c r="F31" s="909"/>
    </row>
    <row r="32" customFormat="false" ht="63.75" hidden="false" customHeight="true" outlineLevel="0" collapsed="false">
      <c r="B32" s="81" t="s">
        <v>3471</v>
      </c>
      <c r="C32" s="909" t="s">
        <v>3472</v>
      </c>
      <c r="D32" s="909"/>
      <c r="E32" s="909"/>
      <c r="F32" s="909"/>
    </row>
    <row r="33" customFormat="false" ht="63.75" hidden="false" customHeight="true" outlineLevel="0" collapsed="false">
      <c r="B33" s="81" t="s">
        <v>3473</v>
      </c>
      <c r="C33" s="909" t="s">
        <v>3474</v>
      </c>
      <c r="D33" s="909"/>
      <c r="E33" s="909"/>
      <c r="F33" s="909"/>
    </row>
    <row r="34" customFormat="false" ht="63.75" hidden="false" customHeight="true" outlineLevel="0" collapsed="false">
      <c r="B34" s="81" t="s">
        <v>3475</v>
      </c>
      <c r="C34" s="909" t="s">
        <v>3476</v>
      </c>
      <c r="D34" s="909"/>
      <c r="E34" s="909"/>
      <c r="F34" s="909"/>
    </row>
    <row r="35" customFormat="false" ht="63.75" hidden="false" customHeight="true" outlineLevel="0" collapsed="false">
      <c r="B35" s="81" t="s">
        <v>3477</v>
      </c>
      <c r="C35" s="909" t="s">
        <v>3478</v>
      </c>
      <c r="D35" s="909"/>
      <c r="E35" s="909"/>
      <c r="F35" s="909"/>
    </row>
    <row r="36" customFormat="false" ht="63.75" hidden="false" customHeight="true" outlineLevel="0" collapsed="false">
      <c r="B36" s="81" t="s">
        <v>3479</v>
      </c>
      <c r="C36" s="909" t="s">
        <v>3480</v>
      </c>
      <c r="D36" s="909"/>
      <c r="E36" s="909"/>
      <c r="F36" s="909"/>
    </row>
    <row r="37" customFormat="false" ht="15" hidden="false" customHeight="true" outlineLevel="0" collapsed="false">
      <c r="B37" s="81" t="s">
        <v>3481</v>
      </c>
      <c r="C37" s="909" t="s">
        <v>3482</v>
      </c>
      <c r="D37" s="909"/>
      <c r="E37" s="909"/>
      <c r="F37" s="909"/>
    </row>
    <row r="38" customFormat="false" ht="48.75" hidden="false" customHeight="true" outlineLevel="0" collapsed="false">
      <c r="B38" s="81" t="s">
        <v>3483</v>
      </c>
      <c r="C38" s="909" t="s">
        <v>3484</v>
      </c>
      <c r="D38" s="909"/>
      <c r="E38" s="909"/>
      <c r="F38" s="909"/>
    </row>
    <row r="39" customFormat="false" ht="63.75" hidden="false" customHeight="true" outlineLevel="0" collapsed="false">
      <c r="B39" s="910" t="s">
        <v>3485</v>
      </c>
      <c r="C39" s="909" t="s">
        <v>3486</v>
      </c>
      <c r="D39" s="909"/>
      <c r="E39" s="909"/>
      <c r="F39" s="909"/>
    </row>
    <row r="40" customFormat="false" ht="48.75" hidden="false" customHeight="true" outlineLevel="0" collapsed="false">
      <c r="B40" s="910" t="s">
        <v>3487</v>
      </c>
      <c r="C40" s="909" t="s">
        <v>3488</v>
      </c>
      <c r="D40" s="909"/>
      <c r="E40" s="909"/>
      <c r="F40" s="909"/>
    </row>
    <row r="41" customFormat="false" ht="48.75" hidden="false" customHeight="true" outlineLevel="0" collapsed="false">
      <c r="B41" s="910" t="s">
        <v>3489</v>
      </c>
      <c r="C41" s="909" t="s">
        <v>3490</v>
      </c>
      <c r="D41" s="909"/>
      <c r="E41" s="909"/>
      <c r="F41" s="909"/>
    </row>
    <row r="42" customFormat="false" ht="48.75" hidden="false" customHeight="true" outlineLevel="0" collapsed="false">
      <c r="B42" s="910" t="s">
        <v>3491</v>
      </c>
      <c r="C42" s="909" t="s">
        <v>3492</v>
      </c>
      <c r="D42" s="909"/>
      <c r="E42" s="909"/>
      <c r="F42" s="909"/>
    </row>
    <row r="43" customFormat="false" ht="48.75" hidden="false" customHeight="true" outlineLevel="0" collapsed="false">
      <c r="B43" s="910" t="s">
        <v>3493</v>
      </c>
      <c r="C43" s="909" t="s">
        <v>3494</v>
      </c>
      <c r="D43" s="909"/>
      <c r="E43" s="909"/>
      <c r="F43" s="909"/>
    </row>
    <row r="44" customFormat="false" ht="15" hidden="false" customHeight="true" outlineLevel="0" collapsed="false">
      <c r="B44" s="910" t="s">
        <v>3495</v>
      </c>
      <c r="C44" s="909" t="s">
        <v>3496</v>
      </c>
      <c r="D44" s="909"/>
      <c r="E44" s="909"/>
      <c r="F44" s="909"/>
    </row>
    <row r="45" customFormat="false" ht="63.75" hidden="false" customHeight="true" outlineLevel="0" collapsed="false">
      <c r="B45" s="910" t="s">
        <v>3497</v>
      </c>
      <c r="C45" s="909" t="s">
        <v>3498</v>
      </c>
      <c r="D45" s="909"/>
      <c r="E45" s="909"/>
      <c r="F45" s="909"/>
    </row>
    <row r="46" customFormat="false" ht="15" hidden="false" customHeight="true" outlineLevel="0" collapsed="false">
      <c r="B46" s="6"/>
      <c r="C46" s="6"/>
      <c r="D46" s="6"/>
    </row>
    <row r="47" customFormat="false" ht="15" hidden="false" customHeight="true" outlineLevel="0" collapsed="false">
      <c r="B47" s="6"/>
      <c r="C47" s="6"/>
      <c r="D47" s="6"/>
    </row>
    <row r="48" customFormat="false" ht="33.75" hidden="false" customHeight="true" outlineLevel="0" collapsed="false">
      <c r="B48" s="125" t="s">
        <v>3499</v>
      </c>
      <c r="C48" s="125"/>
      <c r="D48" s="125"/>
      <c r="E48" s="125"/>
      <c r="F48" s="125"/>
    </row>
    <row r="49" customFormat="false" ht="23.25" hidden="false" customHeight="true" outlineLevel="0" collapsed="false">
      <c r="B49" s="880" t="s">
        <v>206</v>
      </c>
      <c r="C49" s="880" t="s">
        <v>612</v>
      </c>
      <c r="D49" s="880" t="s">
        <v>3500</v>
      </c>
      <c r="E49" s="881" t="s">
        <v>3501</v>
      </c>
      <c r="F49" s="881" t="s">
        <v>778</v>
      </c>
    </row>
    <row r="50" customFormat="false" ht="15" hidden="false" customHeight="true" outlineLevel="0" collapsed="false">
      <c r="B50" s="81" t="s">
        <v>3502</v>
      </c>
      <c r="C50" s="904" t="n">
        <f aca="false">'Gaming · Revenue'!D58</f>
        <v>1000998.35</v>
      </c>
      <c r="D50" s="911" t="n">
        <v>7830000</v>
      </c>
      <c r="E50" s="912" t="n">
        <f aca="false">C50/D50</f>
        <v>0.127841424010217</v>
      </c>
      <c r="F50" s="565" t="s">
        <v>3503</v>
      </c>
    </row>
    <row r="51" customFormat="false" ht="15" hidden="false" customHeight="true" outlineLevel="0" collapsed="false">
      <c r="B51" s="81" t="s">
        <v>3504</v>
      </c>
      <c r="C51" s="904" t="n">
        <f aca="false">'Gaming · Costs'!C35</f>
        <v>533507.497025</v>
      </c>
      <c r="D51" s="911" t="n">
        <v>6100000</v>
      </c>
      <c r="E51" s="912" t="n">
        <f aca="false">C51/D51</f>
        <v>0.0874602454139344</v>
      </c>
      <c r="F51" s="565" t="s">
        <v>3503</v>
      </c>
    </row>
    <row r="52" customFormat="false" ht="15" hidden="false" customHeight="true" outlineLevel="0" collapsed="false">
      <c r="B52" s="81" t="s">
        <v>3460</v>
      </c>
      <c r="C52" s="904" t="n">
        <f aca="false">'Gaming · 8-Year'!K11</f>
        <v>9141363.2067162</v>
      </c>
      <c r="D52" s="911" t="n">
        <v>65000000</v>
      </c>
      <c r="E52" s="912" t="n">
        <f aca="false">C52/D52</f>
        <v>0.140636357026403</v>
      </c>
      <c r="F52" s="565" t="s">
        <v>3505</v>
      </c>
    </row>
    <row r="53" customFormat="false" ht="15" hidden="false" customHeight="true" outlineLevel="0" collapsed="false">
      <c r="B53" s="6"/>
      <c r="C53" s="6"/>
      <c r="D53" s="6"/>
    </row>
    <row r="54" customFormat="false" ht="15" hidden="false" customHeight="true" outlineLevel="0" collapsed="false">
      <c r="B54" s="6"/>
      <c r="C54" s="6"/>
      <c r="D54" s="6"/>
    </row>
    <row r="55" customFormat="false" ht="21.75" hidden="false" customHeight="true" outlineLevel="0" collapsed="false">
      <c r="B55" s="96" t="s">
        <v>3506</v>
      </c>
      <c r="C55" s="96"/>
      <c r="D55" s="96"/>
      <c r="E55" s="96"/>
      <c r="F55" s="96"/>
    </row>
    <row r="56" customFormat="false" ht="15" hidden="false" customHeight="true" outlineLevel="0" collapsed="false">
      <c r="B56" s="880" t="s">
        <v>3507</v>
      </c>
      <c r="C56" s="880" t="s">
        <v>393</v>
      </c>
      <c r="D56" s="880" t="s">
        <v>3508</v>
      </c>
      <c r="E56" s="880"/>
      <c r="F56" s="880"/>
    </row>
    <row r="57" customFormat="false" ht="15" hidden="false" customHeight="true" outlineLevel="0" collapsed="false">
      <c r="B57" s="126" t="s">
        <v>3509</v>
      </c>
      <c r="C57" s="911" t="n">
        <v>4000000</v>
      </c>
      <c r="D57" s="134" t="s">
        <v>3510</v>
      </c>
      <c r="E57" s="134"/>
      <c r="F57" s="134"/>
    </row>
    <row r="58" customFormat="false" ht="15" hidden="false" customHeight="true" outlineLevel="0" collapsed="false">
      <c r="B58" s="126" t="s">
        <v>3511</v>
      </c>
      <c r="C58" s="913" t="n">
        <f aca="false">'Gaming · Cash Flow'!K28</f>
        <v>4666020.33281175</v>
      </c>
      <c r="D58" s="134" t="s">
        <v>3512</v>
      </c>
      <c r="E58" s="134"/>
      <c r="F58" s="134"/>
    </row>
    <row r="59" customFormat="false" ht="15" hidden="false" customHeight="true" outlineLevel="0" collapsed="false">
      <c r="B59" s="113" t="s">
        <v>3513</v>
      </c>
      <c r="C59" s="913" t="n">
        <f aca="false">'Gaming · Cash Flow'!F28</f>
        <v>550138.26094378</v>
      </c>
      <c r="D59" s="134" t="s">
        <v>3514</v>
      </c>
      <c r="E59" s="134"/>
      <c r="F59" s="134"/>
    </row>
    <row r="60" customFormat="false" ht="15" hidden="false" customHeight="true" outlineLevel="0" collapsed="false">
      <c r="B60" s="6"/>
      <c r="C60" s="6"/>
      <c r="D60" s="6"/>
    </row>
    <row r="61" customFormat="false" ht="15" hidden="false" customHeight="true" outlineLevel="0" collapsed="false">
      <c r="B61" s="81" t="s">
        <v>3515</v>
      </c>
      <c r="C61" s="914" t="n">
        <f aca="false">C57/'Gaming · Cash Flow'!F28</f>
        <v>7.27089948831748</v>
      </c>
      <c r="D61" s="134" t="s">
        <v>3516</v>
      </c>
      <c r="E61" s="134"/>
      <c r="F61" s="134"/>
    </row>
    <row r="62" customFormat="false" ht="15" hidden="false" customHeight="true" outlineLevel="0" collapsed="false">
      <c r="B62" s="905" t="s">
        <v>3517</v>
      </c>
      <c r="C62" s="915" t="n">
        <f aca="false">'Gaming · Cash Flow'!F28/C57</f>
        <v>0.137534565235945</v>
      </c>
      <c r="D62" s="134" t="s">
        <v>3518</v>
      </c>
      <c r="E62" s="134"/>
      <c r="F62" s="134"/>
    </row>
    <row r="63" customFormat="false" ht="15" hidden="false" customHeight="true" outlineLevel="0" collapsed="false">
      <c r="B63" s="905" t="s">
        <v>3519</v>
      </c>
      <c r="C63" s="916" t="n">
        <f aca="false">('Gaming · Cash Flow'!K28+C57)/C57</f>
        <v>2.16650508320294</v>
      </c>
      <c r="D63" s="134" t="s">
        <v>3520</v>
      </c>
      <c r="E63" s="134"/>
      <c r="F63" s="134"/>
    </row>
    <row r="64" customFormat="false" ht="120" hidden="false" customHeight="true" outlineLevel="0" collapsed="false">
      <c r="B64" s="905" t="s">
        <v>3521</v>
      </c>
      <c r="C64" s="915" t="n">
        <f aca="false">IRR(CHOOSE({1;2;3;4;5;6;7;8;9},-C57,'Gaming · Cash Flow'!C28,'Gaming · Cash Flow'!D28,'Gaming · Cash Flow'!E28,'Gaming · Cash Flow'!F28,'Gaming · Cash Flow'!G28,'Gaming · Cash Flow'!H28,'Gaming · Cash Flow'!I28,'Gaming · Cash Flow'!J28))</f>
        <v>0.0325978099739938</v>
      </c>
      <c r="D64" s="134" t="s">
        <v>3522</v>
      </c>
      <c r="E64" s="134"/>
      <c r="F64" s="134"/>
    </row>
    <row r="65" customFormat="false" ht="15" hidden="false" customHeight="true" outlineLevel="0" collapsed="false">
      <c r="B65" s="905" t="s">
        <v>3523</v>
      </c>
      <c r="C65" s="915" t="n">
        <f aca="false">'Gaming · Cash Flow'!K28/C57</f>
        <v>1.16650508320294</v>
      </c>
      <c r="D65" s="134" t="s">
        <v>3524</v>
      </c>
      <c r="E65" s="134"/>
      <c r="F65" s="134"/>
    </row>
  </sheetData>
  <mergeCells count="43">
    <mergeCell ref="B2:H2"/>
    <mergeCell ref="I2:L2"/>
    <mergeCell ref="B3:L3"/>
    <mergeCell ref="B5:F5"/>
    <mergeCell ref="H5:K5"/>
    <mergeCell ref="H6:K6"/>
    <mergeCell ref="H7:K7"/>
    <mergeCell ref="H8:K8"/>
    <mergeCell ref="B10:F10"/>
    <mergeCell ref="H10:K10"/>
    <mergeCell ref="H11:K11"/>
    <mergeCell ref="H12:K12"/>
    <mergeCell ref="H13:K15"/>
    <mergeCell ref="B19:F19"/>
    <mergeCell ref="B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B48:F48"/>
    <mergeCell ref="B55:F55"/>
    <mergeCell ref="D56:F56"/>
    <mergeCell ref="D57:F57"/>
    <mergeCell ref="D58:F58"/>
    <mergeCell ref="D59:F59"/>
    <mergeCell ref="D61:F61"/>
    <mergeCell ref="D62:F62"/>
    <mergeCell ref="D63:F63"/>
    <mergeCell ref="D64:F64"/>
    <mergeCell ref="D65:F6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07"/>
  <sheetViews>
    <sheetView showFormulas="false" showGridLines="false" showRowColHeaders="true" showZeros="true" rightToLeft="false" tabSelected="false" showOutlineSymbols="true" defaultGridColor="true" view="normal" topLeftCell="B1" colorId="64" zoomScale="100" zoomScaleNormal="100" zoomScalePageLayoutView="100" workbookViewId="0">
      <selection pane="topLeft" activeCell="H87" activeCellId="0" sqref="H87"/>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 collapsed="false" customWidth="true" hidden="false" outlineLevel="0" max="12" min="12" style="0" width="9"/>
  </cols>
  <sheetData>
    <row r="1" customFormat="false" ht="3.75" hidden="false" customHeight="true" outlineLevel="0" collapsed="false">
      <c r="B1" s="876"/>
      <c r="C1" s="877"/>
      <c r="D1" s="877"/>
      <c r="E1" s="876"/>
    </row>
    <row r="2" customFormat="false" ht="27.75" hidden="false" customHeight="true" outlineLevel="0" collapsed="false">
      <c r="B2" s="917" t="s">
        <v>3525</v>
      </c>
      <c r="C2" s="917"/>
      <c r="D2" s="917"/>
      <c r="E2" s="917"/>
      <c r="F2" s="917"/>
      <c r="G2" s="917"/>
      <c r="H2" s="917"/>
      <c r="I2" s="89" t="s">
        <v>3432</v>
      </c>
      <c r="J2" s="89"/>
      <c r="K2" s="89"/>
      <c r="L2" s="89"/>
    </row>
    <row r="3" customFormat="false" ht="33.75" hidden="false" customHeight="true" outlineLevel="0" collapsed="false">
      <c r="B3" s="90" t="s">
        <v>3526</v>
      </c>
      <c r="C3" s="90"/>
      <c r="D3" s="90"/>
      <c r="E3" s="90"/>
      <c r="F3" s="90"/>
      <c r="G3" s="90"/>
      <c r="H3" s="90"/>
      <c r="I3" s="90"/>
      <c r="J3" s="90"/>
      <c r="K3" s="90"/>
      <c r="L3" s="90"/>
    </row>
    <row r="4" customFormat="false" ht="25.5" hidden="false" customHeight="true" outlineLevel="0" collapsed="false">
      <c r="B4" s="6"/>
      <c r="E4" s="6"/>
      <c r="F4" s="918" t="s">
        <v>3527</v>
      </c>
    </row>
    <row r="5" customFormat="false" ht="48.75" hidden="false" customHeight="true" outlineLevel="0" collapsed="false">
      <c r="B5" s="96" t="s">
        <v>3528</v>
      </c>
      <c r="C5" s="96"/>
      <c r="D5" s="96"/>
      <c r="E5" s="96"/>
      <c r="G5" s="919" t="str">
        <f aca="false">PROPER('Gaming · SUMMARY'!H7)</f>
        <v>Base</v>
      </c>
    </row>
    <row r="6" customFormat="false" ht="21.75" hidden="false" customHeight="true" outlineLevel="0" collapsed="false">
      <c r="B6" s="97" t="s">
        <v>392</v>
      </c>
      <c r="C6" s="675" t="s">
        <v>2444</v>
      </c>
      <c r="D6" s="676" t="s">
        <v>203</v>
      </c>
      <c r="E6" s="678" t="s">
        <v>2445</v>
      </c>
      <c r="F6" s="742" t="s">
        <v>3529</v>
      </c>
      <c r="G6" s="742"/>
      <c r="H6" s="742"/>
    </row>
    <row r="7" customFormat="false" ht="18" hidden="false" customHeight="true" outlineLevel="0" collapsed="false">
      <c r="B7" s="113" t="s">
        <v>3199</v>
      </c>
      <c r="C7" s="920" t="n">
        <v>913.75</v>
      </c>
      <c r="D7" s="921" t="n">
        <v>1075</v>
      </c>
      <c r="E7" s="922" t="n">
        <v>1182.5</v>
      </c>
    </row>
    <row r="8" customFormat="false" ht="18" hidden="false" customHeight="true" outlineLevel="0" collapsed="false">
      <c r="B8" s="113" t="s">
        <v>3208</v>
      </c>
      <c r="C8" s="923" t="n">
        <v>0.27</v>
      </c>
      <c r="D8" s="924" t="n">
        <v>0.3</v>
      </c>
      <c r="E8" s="925" t="n">
        <v>0.324</v>
      </c>
    </row>
    <row r="9" customFormat="false" ht="18" hidden="false" customHeight="true" outlineLevel="0" collapsed="false">
      <c r="B9" s="113" t="s">
        <v>3214</v>
      </c>
      <c r="C9" s="923" t="n">
        <v>0.54</v>
      </c>
      <c r="D9" s="924" t="n">
        <v>0.6</v>
      </c>
      <c r="E9" s="925" t="n">
        <v>0.648</v>
      </c>
      <c r="H9" s="926" t="n">
        <f aca="false">C15</f>
        <v>1075</v>
      </c>
    </row>
    <row r="10" customFormat="false" ht="18" hidden="false" customHeight="true" outlineLevel="0" collapsed="false">
      <c r="B10" s="113" t="s">
        <v>3530</v>
      </c>
      <c r="C10" s="927" t="n">
        <v>8.925</v>
      </c>
      <c r="D10" s="928" t="n">
        <v>10.5</v>
      </c>
      <c r="E10" s="929" t="n">
        <v>11.55</v>
      </c>
    </row>
    <row r="11" customFormat="false" ht="18" hidden="false" customHeight="true" outlineLevel="0" collapsed="false">
      <c r="B11" s="113" t="s">
        <v>3131</v>
      </c>
      <c r="C11" s="923" t="n">
        <v>0.63</v>
      </c>
      <c r="D11" s="924" t="n">
        <v>0.7</v>
      </c>
      <c r="E11" s="925" t="n">
        <v>0.756</v>
      </c>
    </row>
    <row r="12" customFormat="false" ht="6" hidden="false" customHeight="true" outlineLevel="0" collapsed="false">
      <c r="B12" s="6"/>
      <c r="E12" s="6"/>
    </row>
    <row r="13" customFormat="false" ht="18" hidden="false" customHeight="true" outlineLevel="0" collapsed="false">
      <c r="B13" s="6"/>
      <c r="E13" s="6"/>
    </row>
    <row r="14" customFormat="false" ht="33.75" hidden="false" customHeight="true" outlineLevel="0" collapsed="false">
      <c r="B14" s="96" t="s">
        <v>3531</v>
      </c>
      <c r="C14" s="96"/>
      <c r="D14" s="96"/>
      <c r="E14" s="6"/>
    </row>
    <row r="15" customFormat="false" ht="27.75" hidden="false" customHeight="true" outlineLevel="0" collapsed="false">
      <c r="B15" s="100" t="s">
        <v>3532</v>
      </c>
      <c r="C15" s="930" t="n">
        <f aca="false">IF($G$5="Bear",C7,IF($G$5="Bull",E7,D7))</f>
        <v>1075</v>
      </c>
      <c r="D15" s="931" t="s">
        <v>3533</v>
      </c>
      <c r="E15" s="6"/>
    </row>
    <row r="16" customFormat="false" ht="18" hidden="false" customHeight="true" outlineLevel="0" collapsed="false">
      <c r="B16" s="113" t="s">
        <v>3534</v>
      </c>
      <c r="C16" s="932" t="n">
        <f aca="false">C15*52</f>
        <v>55900</v>
      </c>
      <c r="D16" s="565" t="s">
        <v>3535</v>
      </c>
      <c r="E16" s="6"/>
    </row>
    <row r="17" customFormat="false" ht="33.75" hidden="false" customHeight="true" outlineLevel="0" collapsed="false">
      <c r="B17" s="933" t="s">
        <v>3536</v>
      </c>
      <c r="C17" s="933"/>
      <c r="D17" s="933"/>
      <c r="E17" s="6"/>
    </row>
    <row r="18" customFormat="false" ht="18" hidden="false" customHeight="true" outlineLevel="0" collapsed="false">
      <c r="B18" s="113" t="s">
        <v>3537</v>
      </c>
      <c r="C18" s="934" t="n">
        <v>0.42</v>
      </c>
      <c r="D18" s="935" t="s">
        <v>3538</v>
      </c>
      <c r="E18" s="6"/>
    </row>
    <row r="19" customFormat="false" ht="18" hidden="false" customHeight="true" outlineLevel="0" collapsed="false">
      <c r="B19" s="113" t="s">
        <v>3539</v>
      </c>
      <c r="C19" s="936" t="n">
        <v>0.23</v>
      </c>
      <c r="D19" s="565" t="s">
        <v>3540</v>
      </c>
      <c r="E19" s="6"/>
    </row>
    <row r="20" customFormat="false" ht="18" hidden="false" customHeight="true" outlineLevel="0" collapsed="false">
      <c r="B20" s="113" t="s">
        <v>3541</v>
      </c>
      <c r="C20" s="936" t="n">
        <v>0.2</v>
      </c>
      <c r="D20" s="565" t="s">
        <v>3542</v>
      </c>
      <c r="E20" s="6"/>
    </row>
    <row r="21" customFormat="false" ht="18" hidden="false" customHeight="true" outlineLevel="0" collapsed="false">
      <c r="B21" s="104" t="s">
        <v>3543</v>
      </c>
      <c r="C21" s="937" t="n">
        <f aca="false">C18+C19+C20+C23</f>
        <v>1</v>
      </c>
      <c r="D21" s="565" t="s">
        <v>3544</v>
      </c>
      <c r="E21" s="6"/>
    </row>
    <row r="22" customFormat="false" ht="18" hidden="false" customHeight="true" outlineLevel="0" collapsed="false">
      <c r="B22" s="128" t="s">
        <v>3545</v>
      </c>
      <c r="C22" s="938" t="str">
        <f aca="false">IF(ABS(C21-1)&lt;0.001,"✓ OK","✗ ADJUST TO 100%")</f>
        <v>✓ OK</v>
      </c>
      <c r="E22" s="6"/>
    </row>
    <row r="23" customFormat="false" ht="15" hidden="false" customHeight="true" outlineLevel="0" collapsed="false">
      <c r="B23" s="126" t="s">
        <v>3546</v>
      </c>
      <c r="C23" s="398" t="n">
        <v>0.15</v>
      </c>
      <c r="D23" s="565" t="s">
        <v>3547</v>
      </c>
      <c r="E23" s="6"/>
    </row>
    <row r="24" customFormat="false" ht="33.75" hidden="false" customHeight="true" outlineLevel="0" collapsed="false">
      <c r="B24" s="96" t="s">
        <v>3548</v>
      </c>
      <c r="C24" s="96"/>
      <c r="D24" s="96"/>
      <c r="E24" s="6"/>
    </row>
    <row r="25" customFormat="false" ht="18" hidden="false" customHeight="true" outlineLevel="0" collapsed="false">
      <c r="B25" s="113" t="s">
        <v>3549</v>
      </c>
      <c r="C25" s="939" t="n">
        <v>34</v>
      </c>
      <c r="D25" s="565" t="s">
        <v>3550</v>
      </c>
      <c r="E25" s="6"/>
    </row>
    <row r="26" customFormat="false" ht="18" hidden="false" customHeight="true" outlineLevel="0" collapsed="false">
      <c r="B26" s="113" t="s">
        <v>3551</v>
      </c>
      <c r="C26" s="939" t="n">
        <v>8</v>
      </c>
      <c r="D26" s="565" t="s">
        <v>3552</v>
      </c>
      <c r="E26" s="6"/>
    </row>
    <row r="27" customFormat="false" ht="18" hidden="false" customHeight="true" outlineLevel="0" collapsed="false">
      <c r="B27" s="126" t="s">
        <v>3553</v>
      </c>
      <c r="C27" s="940" t="n">
        <f aca="false">60/C26</f>
        <v>7.5</v>
      </c>
      <c r="D27" s="565" t="s">
        <v>3554</v>
      </c>
      <c r="E27" s="6"/>
    </row>
    <row r="28" customFormat="false" ht="15" hidden="false" customHeight="true" outlineLevel="0" collapsed="false">
      <c r="B28" s="6"/>
      <c r="E28" s="6"/>
    </row>
    <row r="29" customFormat="false" ht="33.75" hidden="false" customHeight="true" outlineLevel="0" collapsed="false">
      <c r="B29" s="941" t="s">
        <v>3555</v>
      </c>
      <c r="C29" s="941"/>
      <c r="D29" s="941"/>
      <c r="E29" s="6"/>
    </row>
    <row r="30" customFormat="false" ht="18" hidden="false" customHeight="true" outlineLevel="0" collapsed="false">
      <c r="B30" s="113" t="s">
        <v>3556</v>
      </c>
      <c r="C30" s="942" t="n">
        <v>2</v>
      </c>
      <c r="D30" s="565" t="s">
        <v>3557</v>
      </c>
      <c r="E30" s="6"/>
    </row>
    <row r="31" customFormat="false" ht="18" hidden="false" customHeight="true" outlineLevel="0" collapsed="false">
      <c r="B31" s="592" t="s">
        <v>3558</v>
      </c>
      <c r="C31" s="932" t="n">
        <f aca="false">C117*C18</f>
        <v>451.5</v>
      </c>
      <c r="D31" s="565" t="s">
        <v>3559</v>
      </c>
      <c r="E31" s="6"/>
    </row>
    <row r="32" customFormat="false" ht="18" hidden="false" customHeight="true" outlineLevel="0" collapsed="false">
      <c r="B32" s="592" t="s">
        <v>3560</v>
      </c>
      <c r="C32" s="932" t="n">
        <f aca="false">C31*C30</f>
        <v>903</v>
      </c>
      <c r="D32" s="565" t="s">
        <v>3561</v>
      </c>
      <c r="E32" s="6"/>
    </row>
    <row r="33" customFormat="false" ht="18" hidden="false" customHeight="true" outlineLevel="0" collapsed="false">
      <c r="B33" s="104" t="s">
        <v>3562</v>
      </c>
      <c r="C33" s="943" t="n">
        <f aca="false">C32/C25</f>
        <v>26.5588235294118</v>
      </c>
      <c r="D33" s="565" t="s">
        <v>3563</v>
      </c>
      <c r="E33" s="6"/>
    </row>
    <row r="34" customFormat="false" ht="15" hidden="false" customHeight="true" outlineLevel="0" collapsed="false">
      <c r="B34" s="6"/>
      <c r="E34" s="6"/>
    </row>
    <row r="35" customFormat="false" ht="18" hidden="false" customHeight="true" outlineLevel="0" collapsed="false">
      <c r="B35" s="941" t="s">
        <v>3564</v>
      </c>
      <c r="C35" s="941"/>
      <c r="D35" s="941"/>
      <c r="E35" s="6"/>
    </row>
    <row r="36" customFormat="false" ht="18" hidden="false" customHeight="true" outlineLevel="0" collapsed="false">
      <c r="B36" s="126" t="s">
        <v>3565</v>
      </c>
      <c r="C36" s="944" t="n">
        <f aca="false">IF($G$5="Bear",C9,IF($G$5="Bull",E9,D9))</f>
        <v>0.6</v>
      </c>
      <c r="D36" s="931" t="s">
        <v>3566</v>
      </c>
      <c r="E36" s="6"/>
    </row>
    <row r="37" customFormat="false" ht="18" hidden="false" customHeight="true" outlineLevel="0" collapsed="false">
      <c r="B37" s="113" t="s">
        <v>3567</v>
      </c>
      <c r="C37" s="945" t="n">
        <v>25</v>
      </c>
      <c r="D37" s="565" t="s">
        <v>3568</v>
      </c>
      <c r="E37" s="6"/>
    </row>
    <row r="38" customFormat="false" ht="18" hidden="false" customHeight="true" outlineLevel="0" collapsed="false">
      <c r="B38" s="113" t="s">
        <v>3569</v>
      </c>
      <c r="C38" s="939" t="n">
        <v>10</v>
      </c>
      <c r="D38" s="565" t="s">
        <v>3570</v>
      </c>
      <c r="E38" s="6"/>
    </row>
    <row r="39" customFormat="false" ht="18" hidden="false" customHeight="true" outlineLevel="0" collapsed="false">
      <c r="B39" s="113" t="s">
        <v>3571</v>
      </c>
      <c r="C39" s="945" t="n">
        <v>8</v>
      </c>
      <c r="D39" s="565" t="s">
        <v>3572</v>
      </c>
      <c r="E39" s="6"/>
    </row>
    <row r="40" customFormat="false" ht="18" hidden="false" customHeight="true" outlineLevel="0" collapsed="false">
      <c r="B40" s="113" t="s">
        <v>3573</v>
      </c>
      <c r="C40" s="946" t="n">
        <f aca="false">IF($G$5="Bear",C10,IF($G$5="Bull",E10,D10))</f>
        <v>10.5</v>
      </c>
      <c r="D40" s="931" t="s">
        <v>3574</v>
      </c>
      <c r="E40" s="6"/>
    </row>
    <row r="41" customFormat="false" ht="18" hidden="false" customHeight="true" outlineLevel="0" collapsed="false">
      <c r="B41" s="126" t="s">
        <v>3575</v>
      </c>
      <c r="C41" s="936" t="n">
        <v>0.65</v>
      </c>
      <c r="D41" s="565" t="s">
        <v>3576</v>
      </c>
      <c r="E41" s="6"/>
    </row>
    <row r="42" customFormat="false" ht="18" hidden="false" customHeight="true" outlineLevel="0" collapsed="false">
      <c r="B42" s="104" t="s">
        <v>3577</v>
      </c>
      <c r="C42" s="947" t="n">
        <f aca="false">C39*(1-C41)+C40*C41</f>
        <v>9.625</v>
      </c>
      <c r="D42" s="565" t="s">
        <v>3578</v>
      </c>
      <c r="E42" s="6"/>
    </row>
    <row r="43" customFormat="false" ht="33.75" hidden="false" customHeight="true" outlineLevel="0" collapsed="false">
      <c r="B43" s="948" t="s">
        <v>3579</v>
      </c>
      <c r="E43" s="6"/>
    </row>
    <row r="44" customFormat="false" ht="18" hidden="false" customHeight="true" outlineLevel="0" collapsed="false">
      <c r="B44" s="126" t="s">
        <v>3580</v>
      </c>
      <c r="C44" s="945" t="n">
        <v>3</v>
      </c>
      <c r="D44" s="565" t="s">
        <v>3581</v>
      </c>
      <c r="E44" s="6"/>
    </row>
    <row r="45" customFormat="false" ht="15" hidden="false" customHeight="true" outlineLevel="0" collapsed="false">
      <c r="B45" s="6"/>
      <c r="E45" s="6"/>
    </row>
    <row r="46" customFormat="false" ht="33.75" hidden="false" customHeight="true" outlineLevel="0" collapsed="false">
      <c r="B46" s="96" t="s">
        <v>3582</v>
      </c>
      <c r="C46" s="96"/>
      <c r="D46" s="96"/>
      <c r="E46" s="6"/>
    </row>
    <row r="47" customFormat="false" ht="18" hidden="false" customHeight="true" outlineLevel="0" collapsed="false">
      <c r="B47" s="126" t="s">
        <v>3583</v>
      </c>
      <c r="C47" s="939" t="n">
        <v>30</v>
      </c>
      <c r="D47" s="565" t="s">
        <v>3584</v>
      </c>
      <c r="E47" s="6"/>
    </row>
    <row r="48" customFormat="false" ht="18" hidden="false" customHeight="true" outlineLevel="0" collapsed="false">
      <c r="B48" s="113" t="s">
        <v>3585</v>
      </c>
      <c r="C48" s="939" t="n">
        <v>14</v>
      </c>
      <c r="D48" s="565" t="s">
        <v>3586</v>
      </c>
      <c r="E48" s="6"/>
    </row>
    <row r="49" customFormat="false" ht="18" hidden="false" customHeight="true" outlineLevel="0" collapsed="false">
      <c r="B49" s="113" t="s">
        <v>3587</v>
      </c>
      <c r="C49" s="949" t="n">
        <f aca="false">C47-C48</f>
        <v>16</v>
      </c>
      <c r="D49" s="565" t="s">
        <v>3588</v>
      </c>
      <c r="E49" s="6"/>
    </row>
    <row r="50" customFormat="false" ht="15" hidden="false" customHeight="true" outlineLevel="0" collapsed="false">
      <c r="B50" s="6"/>
      <c r="E50" s="6"/>
    </row>
    <row r="51" customFormat="false" ht="18" hidden="false" customHeight="true" outlineLevel="0" collapsed="false">
      <c r="B51" s="950" t="s">
        <v>3589</v>
      </c>
      <c r="C51" s="950"/>
      <c r="D51" s="950"/>
      <c r="E51" s="6"/>
    </row>
    <row r="52" customFormat="false" ht="18" hidden="false" customHeight="true" outlineLevel="0" collapsed="false">
      <c r="B52" s="113" t="s">
        <v>3556</v>
      </c>
      <c r="C52" s="942" t="n">
        <v>6</v>
      </c>
      <c r="D52" s="565" t="s">
        <v>3590</v>
      </c>
      <c r="E52" s="6"/>
    </row>
    <row r="53" customFormat="false" ht="18" hidden="false" customHeight="true" outlineLevel="0" collapsed="false">
      <c r="B53" s="104" t="s">
        <v>3591</v>
      </c>
      <c r="C53" s="932" t="n">
        <f aca="false">C117*C19</f>
        <v>247.25</v>
      </c>
      <c r="D53" s="565" t="s">
        <v>3592</v>
      </c>
      <c r="E53" s="6"/>
    </row>
    <row r="54" customFormat="false" ht="18" hidden="false" customHeight="true" outlineLevel="0" collapsed="false">
      <c r="B54" s="592" t="s">
        <v>3593</v>
      </c>
      <c r="C54" s="932" t="n">
        <f aca="false">C53*C52</f>
        <v>1483.5</v>
      </c>
      <c r="D54" s="565" t="s">
        <v>3561</v>
      </c>
      <c r="E54" s="6"/>
    </row>
    <row r="55" customFormat="false" ht="15" hidden="false" customHeight="true" outlineLevel="0" collapsed="false">
      <c r="B55" s="6"/>
      <c r="E55" s="6"/>
    </row>
    <row r="56" customFormat="false" ht="18" hidden="false" customHeight="true" outlineLevel="0" collapsed="false">
      <c r="B56" s="941" t="s">
        <v>3594</v>
      </c>
      <c r="C56" s="941"/>
      <c r="D56" s="941"/>
      <c r="E56" s="6"/>
    </row>
    <row r="57" customFormat="false" ht="18" hidden="false" customHeight="true" outlineLevel="0" collapsed="false">
      <c r="B57" s="113" t="s">
        <v>3595</v>
      </c>
      <c r="C57" s="936" t="n">
        <v>0.5</v>
      </c>
      <c r="D57" s="565" t="s">
        <v>3596</v>
      </c>
      <c r="E57" s="6"/>
    </row>
    <row r="58" customFormat="false" ht="18" hidden="false" customHeight="true" outlineLevel="0" collapsed="false">
      <c r="B58" s="113" t="s">
        <v>3567</v>
      </c>
      <c r="C58" s="945" t="n">
        <v>18</v>
      </c>
      <c r="D58" s="565" t="s">
        <v>3597</v>
      </c>
      <c r="E58" s="6"/>
    </row>
    <row r="59" customFormat="false" ht="18" hidden="false" customHeight="true" outlineLevel="0" collapsed="false">
      <c r="B59" s="113" t="s">
        <v>3569</v>
      </c>
      <c r="C59" s="939" t="n">
        <v>10</v>
      </c>
      <c r="E59" s="6"/>
    </row>
    <row r="60" customFormat="false" ht="18" hidden="false" customHeight="true" outlineLevel="0" collapsed="false">
      <c r="B60" s="126" t="s">
        <v>3598</v>
      </c>
      <c r="C60" s="951" t="n">
        <v>2.5</v>
      </c>
      <c r="D60" s="565" t="s">
        <v>3599</v>
      </c>
      <c r="E60" s="6"/>
    </row>
    <row r="61" customFormat="false" ht="18" hidden="false" customHeight="true" outlineLevel="0" collapsed="false">
      <c r="B61" s="126" t="s">
        <v>3600</v>
      </c>
      <c r="C61" s="951" t="n">
        <v>5</v>
      </c>
      <c r="D61" s="565" t="s">
        <v>3601</v>
      </c>
      <c r="E61" s="6"/>
    </row>
    <row r="62" customFormat="false" ht="18" hidden="false" customHeight="true" outlineLevel="0" collapsed="false">
      <c r="B62" s="113" t="s">
        <v>3602</v>
      </c>
      <c r="C62" s="936" t="n">
        <v>0.3</v>
      </c>
      <c r="D62" s="565" t="s">
        <v>3603</v>
      </c>
      <c r="E62" s="6"/>
    </row>
    <row r="63" customFormat="false" ht="18" hidden="false" customHeight="true" outlineLevel="0" collapsed="false">
      <c r="B63" s="104" t="s">
        <v>3577</v>
      </c>
      <c r="C63" s="947" t="n">
        <f aca="false">C60*(1-C62)+C61*C62</f>
        <v>3.25</v>
      </c>
      <c r="D63" s="565" t="s">
        <v>3604</v>
      </c>
      <c r="E63" s="6"/>
    </row>
    <row r="64" customFormat="false" ht="15" hidden="false" customHeight="true" outlineLevel="0" collapsed="false">
      <c r="B64" s="6"/>
      <c r="E64" s="6"/>
    </row>
    <row r="65" customFormat="false" ht="33.75" hidden="false" customHeight="true" outlineLevel="0" collapsed="false">
      <c r="B65" s="96" t="s">
        <v>3605</v>
      </c>
      <c r="C65" s="96"/>
      <c r="D65" s="96"/>
      <c r="E65" s="6"/>
    </row>
    <row r="66" customFormat="false" ht="18" hidden="false" customHeight="true" outlineLevel="0" collapsed="false">
      <c r="B66" s="113" t="s">
        <v>3606</v>
      </c>
      <c r="C66" s="939" t="n">
        <v>25</v>
      </c>
      <c r="D66" s="565" t="s">
        <v>3607</v>
      </c>
      <c r="E66" s="6"/>
    </row>
    <row r="67" customFormat="false" ht="18" hidden="false" customHeight="true" outlineLevel="0" collapsed="false">
      <c r="B67" s="113" t="s">
        <v>3556</v>
      </c>
      <c r="C67" s="942" t="n">
        <v>6</v>
      </c>
      <c r="D67" s="565" t="s">
        <v>3608</v>
      </c>
      <c r="E67" s="6"/>
    </row>
    <row r="68" customFormat="false" ht="18" hidden="false" customHeight="true" outlineLevel="0" collapsed="false">
      <c r="B68" s="104" t="s">
        <v>3609</v>
      </c>
      <c r="C68" s="932" t="n">
        <f aca="false">C117*C20</f>
        <v>215</v>
      </c>
      <c r="D68" s="565" t="s">
        <v>3610</v>
      </c>
      <c r="E68" s="6"/>
    </row>
    <row r="69" customFormat="false" ht="18" hidden="false" customHeight="true" outlineLevel="0" collapsed="false">
      <c r="B69" s="104" t="s">
        <v>3611</v>
      </c>
      <c r="C69" s="932" t="n">
        <f aca="false">C68*C67</f>
        <v>1290</v>
      </c>
      <c r="D69" s="565" t="s">
        <v>3561</v>
      </c>
      <c r="E69" s="6"/>
    </row>
    <row r="70" customFormat="false" ht="18" hidden="false" customHeight="true" outlineLevel="0" collapsed="false">
      <c r="B70" s="113" t="s">
        <v>3612</v>
      </c>
      <c r="C70" s="951" t="n">
        <v>1.5</v>
      </c>
      <c r="D70" s="565" t="s">
        <v>3613</v>
      </c>
      <c r="E70" s="6"/>
    </row>
    <row r="71" customFormat="false" ht="18" hidden="false" customHeight="true" outlineLevel="0" collapsed="false">
      <c r="B71" s="126" t="s">
        <v>3614</v>
      </c>
      <c r="C71" s="936" t="n">
        <v>0.22</v>
      </c>
      <c r="D71" s="565" t="s">
        <v>3615</v>
      </c>
      <c r="E71" s="6"/>
    </row>
    <row r="72" customFormat="false" ht="18" hidden="false" customHeight="true" outlineLevel="0" collapsed="false">
      <c r="B72" s="126" t="s">
        <v>3616</v>
      </c>
      <c r="C72" s="952" t="n">
        <f aca="false">C289</f>
        <v>9620</v>
      </c>
      <c r="D72" s="953" t="s">
        <v>3617</v>
      </c>
      <c r="E72" s="6"/>
    </row>
    <row r="73" customFormat="false" ht="15" hidden="false" customHeight="true" outlineLevel="0" collapsed="false">
      <c r="B73" s="6"/>
      <c r="E73" s="6"/>
    </row>
    <row r="74" customFormat="false" ht="21.75" hidden="false" customHeight="true" outlineLevel="0" collapsed="false">
      <c r="B74" s="125" t="s">
        <v>3618</v>
      </c>
      <c r="C74" s="125"/>
      <c r="D74" s="125"/>
      <c r="E74" s="6"/>
    </row>
    <row r="75" customFormat="false" ht="18" hidden="false" customHeight="true" outlineLevel="0" collapsed="false">
      <c r="B75" s="113" t="s">
        <v>3619</v>
      </c>
      <c r="C75" s="939" t="n">
        <v>40</v>
      </c>
      <c r="D75" s="565" t="s">
        <v>3620</v>
      </c>
      <c r="E75" s="6"/>
    </row>
    <row r="76" customFormat="false" ht="18" hidden="false" customHeight="true" outlineLevel="0" collapsed="false">
      <c r="B76" s="126" t="s">
        <v>3621</v>
      </c>
      <c r="C76" s="945" t="n">
        <v>350</v>
      </c>
      <c r="D76" s="565" t="s">
        <v>3622</v>
      </c>
      <c r="E76" s="6"/>
    </row>
    <row r="77" customFormat="false" ht="15" hidden="false" customHeight="true" outlineLevel="0" collapsed="false">
      <c r="B77" s="6"/>
      <c r="E77" s="6"/>
    </row>
    <row r="78" customFormat="false" ht="33.75" hidden="false" customHeight="true" outlineLevel="0" collapsed="false">
      <c r="B78" s="96" t="s">
        <v>3623</v>
      </c>
      <c r="C78" s="96"/>
      <c r="D78" s="96"/>
      <c r="E78" s="6"/>
    </row>
    <row r="79" customFormat="false" ht="18" hidden="false" customHeight="true" outlineLevel="0" collapsed="false">
      <c r="B79" s="113" t="s">
        <v>3624</v>
      </c>
      <c r="C79" s="939" t="n">
        <v>18</v>
      </c>
      <c r="D79" s="565" t="s">
        <v>3625</v>
      </c>
      <c r="E79" s="6"/>
    </row>
    <row r="80" customFormat="false" ht="18" hidden="false" customHeight="true" outlineLevel="0" collapsed="false">
      <c r="B80" s="126" t="s">
        <v>3626</v>
      </c>
      <c r="C80" s="945" t="n">
        <v>7200</v>
      </c>
      <c r="D80" s="565" t="s">
        <v>3627</v>
      </c>
      <c r="E80" s="6"/>
    </row>
    <row r="81" customFormat="false" ht="18" hidden="false" customHeight="true" outlineLevel="0" collapsed="false">
      <c r="B81" s="126" t="s">
        <v>3628</v>
      </c>
      <c r="C81" s="936" t="n">
        <v>0.21</v>
      </c>
      <c r="D81" s="565" t="s">
        <v>3629</v>
      </c>
      <c r="E81" s="6"/>
    </row>
    <row r="82" customFormat="false" ht="18" hidden="false" customHeight="true" outlineLevel="0" collapsed="false">
      <c r="B82" s="104" t="s">
        <v>3630</v>
      </c>
      <c r="C82" s="954" t="n">
        <f aca="false">C79*C80*(1+C81)</f>
        <v>156816</v>
      </c>
      <c r="D82" s="565" t="s">
        <v>3631</v>
      </c>
      <c r="E82" s="6"/>
    </row>
    <row r="83" customFormat="false" ht="18" hidden="false" customHeight="true" outlineLevel="0" collapsed="false">
      <c r="B83" s="126" t="s">
        <v>3632</v>
      </c>
      <c r="C83" s="936" t="n">
        <v>0.0285</v>
      </c>
      <c r="D83" s="565" t="s">
        <v>3633</v>
      </c>
      <c r="E83" s="6"/>
    </row>
    <row r="84" customFormat="false" ht="18" hidden="false" customHeight="true" outlineLevel="0" collapsed="false">
      <c r="B84" s="126" t="s">
        <v>3634</v>
      </c>
      <c r="C84" s="945" t="n">
        <v>45000</v>
      </c>
      <c r="D84" s="935" t="s">
        <v>3635</v>
      </c>
      <c r="E84" s="6"/>
    </row>
    <row r="85" customFormat="false" ht="18" hidden="false" customHeight="true" outlineLevel="0" collapsed="false">
      <c r="B85" s="955" t="s">
        <v>3636</v>
      </c>
      <c r="C85" s="956" t="n">
        <f aca="false">C151</f>
        <v>117390</v>
      </c>
      <c r="D85" s="953" t="s">
        <v>3637</v>
      </c>
      <c r="E85" s="6"/>
    </row>
    <row r="86" customFormat="false" ht="18" hidden="false" customHeight="true" outlineLevel="0" collapsed="false">
      <c r="B86" s="113" t="s">
        <v>3638</v>
      </c>
      <c r="C86" s="952" t="n">
        <v>0</v>
      </c>
      <c r="D86" s="953" t="s">
        <v>3639</v>
      </c>
      <c r="E86" s="6"/>
      <c r="H86" s="0" t="s">
        <v>3640</v>
      </c>
    </row>
    <row r="87" customFormat="false" ht="18" hidden="false" customHeight="true" outlineLevel="0" collapsed="false">
      <c r="B87" s="113" t="s">
        <v>3641</v>
      </c>
      <c r="C87" s="945" t="n">
        <v>8000</v>
      </c>
      <c r="E87" s="6"/>
    </row>
    <row r="88" customFormat="false" ht="18" hidden="false" customHeight="true" outlineLevel="0" collapsed="false">
      <c r="B88" s="126" t="s">
        <v>3642</v>
      </c>
      <c r="C88" s="952" t="n">
        <f aca="false">C273</f>
        <v>36000</v>
      </c>
      <c r="D88" s="953" t="s">
        <v>3643</v>
      </c>
      <c r="E88" s="6"/>
    </row>
    <row r="89" customFormat="false" ht="15" hidden="false" customHeight="true" outlineLevel="0" collapsed="false">
      <c r="B89" s="6"/>
      <c r="E89" s="6"/>
    </row>
    <row r="90" customFormat="false" ht="18" hidden="false" customHeight="true" outlineLevel="0" collapsed="false">
      <c r="B90" s="957" t="s">
        <v>3644</v>
      </c>
      <c r="C90" s="957"/>
      <c r="D90" s="957"/>
      <c r="E90" s="6"/>
    </row>
    <row r="91" customFormat="false" ht="18" hidden="false" customHeight="true" outlineLevel="0" collapsed="false">
      <c r="B91" s="128" t="s">
        <v>3645</v>
      </c>
      <c r="C91" s="958" t="s">
        <v>3646</v>
      </c>
      <c r="E91" s="6"/>
    </row>
    <row r="92" customFormat="false" ht="18" hidden="false" customHeight="true" outlineLevel="0" collapsed="false">
      <c r="B92" s="108" t="s">
        <v>3647</v>
      </c>
      <c r="C92" s="958" t="s">
        <v>3646</v>
      </c>
      <c r="E92" s="6"/>
    </row>
    <row r="93" customFormat="false" ht="15" hidden="false" customHeight="true" outlineLevel="0" collapsed="false">
      <c r="B93" s="6"/>
      <c r="E93" s="6"/>
    </row>
    <row r="94" customFormat="false" ht="33.75" hidden="false" customHeight="true" outlineLevel="0" collapsed="false">
      <c r="B94" s="96" t="s">
        <v>3648</v>
      </c>
      <c r="C94" s="96"/>
      <c r="D94" s="96"/>
      <c r="E94" s="6"/>
    </row>
    <row r="95" customFormat="false" ht="18" hidden="false" customHeight="true" outlineLevel="0" collapsed="false">
      <c r="B95" s="126" t="s">
        <v>3649</v>
      </c>
      <c r="C95" s="944" t="n">
        <v>0.9</v>
      </c>
      <c r="D95" s="959" t="s">
        <v>3650</v>
      </c>
      <c r="E95" s="6"/>
    </row>
    <row r="96" customFormat="false" ht="18" hidden="false" customHeight="true" outlineLevel="0" collapsed="false">
      <c r="B96" s="126" t="s">
        <v>3651</v>
      </c>
      <c r="C96" s="936" t="n">
        <v>0.95</v>
      </c>
      <c r="E96" s="6"/>
    </row>
    <row r="97" customFormat="false" ht="18" hidden="false" customHeight="true" outlineLevel="0" collapsed="false">
      <c r="B97" s="126" t="s">
        <v>3652</v>
      </c>
      <c r="C97" s="936" t="n">
        <v>1</v>
      </c>
      <c r="E97" s="6"/>
    </row>
    <row r="98" customFormat="false" ht="18" hidden="false" customHeight="true" outlineLevel="0" collapsed="false">
      <c r="B98" s="126" t="s">
        <v>3653</v>
      </c>
      <c r="C98" s="936" t="n">
        <v>1</v>
      </c>
      <c r="E98" s="6"/>
    </row>
    <row r="99" customFormat="false" ht="18" hidden="false" customHeight="true" outlineLevel="0" collapsed="false">
      <c r="B99" s="126" t="s">
        <v>3654</v>
      </c>
      <c r="C99" s="936" t="n">
        <v>1.05</v>
      </c>
      <c r="E99" s="6"/>
    </row>
    <row r="100" customFormat="false" ht="18" hidden="false" customHeight="true" outlineLevel="0" collapsed="false">
      <c r="B100" s="113" t="s">
        <v>3655</v>
      </c>
      <c r="C100" s="936" t="n">
        <v>1.08</v>
      </c>
      <c r="E100" s="6"/>
    </row>
    <row r="101" customFormat="false" ht="18" hidden="false" customHeight="true" outlineLevel="0" collapsed="false">
      <c r="B101" s="113" t="s">
        <v>3656</v>
      </c>
      <c r="C101" s="936" t="n">
        <v>1.1</v>
      </c>
      <c r="E101" s="6"/>
    </row>
    <row r="102" customFormat="false" ht="18" hidden="false" customHeight="true" outlineLevel="0" collapsed="false">
      <c r="B102" s="113" t="s">
        <v>3657</v>
      </c>
      <c r="C102" s="936" t="n">
        <v>1.1</v>
      </c>
      <c r="E102" s="6"/>
    </row>
    <row r="103" customFormat="false" ht="18" hidden="false" customHeight="true" outlineLevel="0" collapsed="false">
      <c r="B103" s="113" t="s">
        <v>3658</v>
      </c>
      <c r="C103" s="960" t="n">
        <v>0.03</v>
      </c>
      <c r="E103" s="6"/>
    </row>
    <row r="104" customFormat="false" ht="15" hidden="false" customHeight="true" outlineLevel="0" collapsed="false">
      <c r="B104" s="6"/>
      <c r="E104" s="6"/>
    </row>
    <row r="105" customFormat="false" ht="15" hidden="false" customHeight="true" outlineLevel="0" collapsed="false">
      <c r="B105" s="6"/>
      <c r="E105" s="6"/>
    </row>
    <row r="106" customFormat="false" ht="33.75" hidden="false" customHeight="true" outlineLevel="0" collapsed="false">
      <c r="B106" s="575" t="s">
        <v>3659</v>
      </c>
      <c r="C106" s="575"/>
      <c r="D106" s="575"/>
      <c r="E106" s="6"/>
    </row>
    <row r="107" customFormat="false" ht="33.75" hidden="false" customHeight="true" outlineLevel="0" collapsed="false">
      <c r="B107" s="961" t="s">
        <v>3660</v>
      </c>
      <c r="C107" s="961"/>
      <c r="D107" s="961"/>
      <c r="E107" s="6"/>
    </row>
    <row r="108" customFormat="false" ht="48.75" hidden="false" customHeight="true" outlineLevel="0" collapsed="false">
      <c r="B108" s="962" t="s">
        <v>3661</v>
      </c>
      <c r="C108" s="962"/>
      <c r="D108" s="962"/>
      <c r="E108" s="962"/>
    </row>
    <row r="109" customFormat="false" ht="33.75" hidden="false" customHeight="true" outlineLevel="0" collapsed="false">
      <c r="B109" s="81" t="s">
        <v>3662</v>
      </c>
      <c r="C109" s="963" t="s">
        <v>3663</v>
      </c>
      <c r="D109" s="565" t="s">
        <v>3664</v>
      </c>
      <c r="E109" s="6"/>
    </row>
    <row r="110" customFormat="false" ht="18" hidden="false" customHeight="true" outlineLevel="0" collapsed="false">
      <c r="B110" s="592" t="s">
        <v>3665</v>
      </c>
      <c r="C110" s="964" t="n">
        <f aca="false">C15</f>
        <v>1075</v>
      </c>
      <c r="D110" s="965" t="str">
        <f aca="false">IF(C109="F","🎯 STEP 2 → Source = R15 (HEADLINE) | active","⚪ STEP 2 → inactive (occupancy mode)")</f>
        <v>🎯 STEP 2 → Source = R15 (HEADLINE) | active</v>
      </c>
      <c r="E110" s="6"/>
    </row>
    <row r="111" customFormat="false" ht="18" hidden="false" customHeight="true" outlineLevel="0" collapsed="false">
      <c r="B111" s="113" t="s">
        <v>3666</v>
      </c>
      <c r="C111" s="960" t="n">
        <v>0.05</v>
      </c>
      <c r="D111" s="965" t="str">
        <f aca="false">IF(C109="O","✓ ACTIVE (driving)","⚪ inactive (occupancy mode off)")</f>
        <v>⚪ inactive (occupancy mode off)</v>
      </c>
      <c r="E111" s="6"/>
    </row>
    <row r="112" customFormat="false" ht="15" hidden="false" customHeight="true" outlineLevel="0" collapsed="false">
      <c r="B112" s="6"/>
      <c r="E112" s="6"/>
    </row>
    <row r="113" customFormat="false" ht="33.75" hidden="false" customHeight="true" outlineLevel="0" collapsed="false">
      <c r="B113" s="950" t="s">
        <v>3667</v>
      </c>
      <c r="C113" s="950"/>
      <c r="D113" s="950"/>
      <c r="E113" s="6"/>
    </row>
    <row r="114" customFormat="false" ht="18" hidden="false" customHeight="true" outlineLevel="0" collapsed="false">
      <c r="B114" s="592" t="s">
        <v>3668</v>
      </c>
      <c r="C114" s="932" t="n">
        <f aca="false">C25*C27*C297*7</f>
        <v>21420</v>
      </c>
      <c r="D114" s="565" t="s">
        <v>3669</v>
      </c>
      <c r="E114" s="6"/>
    </row>
    <row r="115" customFormat="false" ht="15" hidden="false" customHeight="true" outlineLevel="0" collapsed="false">
      <c r="B115" s="6"/>
      <c r="E115" s="6"/>
    </row>
    <row r="116" customFormat="false" ht="33.75" hidden="false" customHeight="true" outlineLevel="0" collapsed="false">
      <c r="B116" s="72" t="s">
        <v>3670</v>
      </c>
      <c r="C116" s="72"/>
      <c r="D116" s="72"/>
      <c r="E116" s="6"/>
    </row>
    <row r="117" customFormat="false" ht="15.75" hidden="false" customHeight="true" outlineLevel="0" collapsed="false">
      <c r="B117" s="117" t="s">
        <v>3671</v>
      </c>
      <c r="C117" s="966" t="n">
        <f aca="false">IF(C109="F",C110,C111*C114/(C18*C30))</f>
        <v>1075</v>
      </c>
      <c r="D117" s="967" t="s">
        <v>3672</v>
      </c>
      <c r="E117" s="6"/>
    </row>
    <row r="118" customFormat="false" ht="15.75" hidden="false" customHeight="true" outlineLevel="0" collapsed="false">
      <c r="B118" s="117" t="s">
        <v>3673</v>
      </c>
      <c r="C118" s="886" t="n">
        <f aca="false">IF(C109="O",C111,C117*C18*C30/C114)</f>
        <v>0.042156862745098</v>
      </c>
      <c r="D118" s="565" t="s">
        <v>3674</v>
      </c>
      <c r="E118" s="6"/>
    </row>
    <row r="119" customFormat="false" ht="15" hidden="false" customHeight="true" outlineLevel="0" collapsed="false">
      <c r="B119" s="6"/>
      <c r="E119" s="6"/>
    </row>
    <row r="120" customFormat="false" ht="18" hidden="false" customHeight="true" outlineLevel="0" collapsed="false">
      <c r="B120" s="128" t="s">
        <v>3675</v>
      </c>
      <c r="C120" s="968" t="n">
        <f aca="false">C117*52</f>
        <v>55900</v>
      </c>
      <c r="E120" s="6"/>
    </row>
    <row r="121" customFormat="false" ht="18" hidden="false" customHeight="true" outlineLevel="0" collapsed="false">
      <c r="B121" s="128" t="s">
        <v>3676</v>
      </c>
      <c r="C121" s="968" t="n">
        <f aca="false">C117*C18*C30</f>
        <v>903</v>
      </c>
      <c r="E121" s="6"/>
    </row>
    <row r="122" customFormat="false" ht="18" hidden="false" customHeight="true" outlineLevel="0" collapsed="false">
      <c r="B122" s="128" t="s">
        <v>3677</v>
      </c>
      <c r="C122" s="969" t="n">
        <f aca="false">C118</f>
        <v>0.042156862745098</v>
      </c>
      <c r="E122" s="6"/>
    </row>
    <row r="123" customFormat="false" ht="15" hidden="false" customHeight="true" outlineLevel="0" collapsed="false">
      <c r="B123" s="6"/>
      <c r="E123" s="6"/>
    </row>
    <row r="124" customFormat="false" ht="15" hidden="false" customHeight="true" outlineLevel="0" collapsed="false">
      <c r="B124" s="6"/>
      <c r="E124" s="6"/>
    </row>
    <row r="125" customFormat="false" ht="33.75" hidden="false" customHeight="true" outlineLevel="0" collapsed="false">
      <c r="B125" s="575" t="s">
        <v>3678</v>
      </c>
      <c r="C125" s="575"/>
      <c r="D125" s="575"/>
      <c r="E125" s="6"/>
    </row>
    <row r="126" customFormat="false" ht="48.75" hidden="false" customHeight="true" outlineLevel="0" collapsed="false">
      <c r="B126" s="961" t="s">
        <v>3679</v>
      </c>
      <c r="C126" s="961"/>
      <c r="D126" s="961"/>
      <c r="E126" s="6"/>
    </row>
    <row r="127" customFormat="false" ht="15" hidden="false" customHeight="true" outlineLevel="0" collapsed="false">
      <c r="B127" s="6"/>
      <c r="E127" s="6"/>
    </row>
    <row r="128" customFormat="false" ht="18" hidden="false" customHeight="true" outlineLevel="0" collapsed="false">
      <c r="B128" s="81" t="s">
        <v>3680</v>
      </c>
      <c r="C128" s="970" t="n">
        <f aca="false">C31</f>
        <v>451.5</v>
      </c>
      <c r="E128" s="6"/>
    </row>
    <row r="129" customFormat="false" ht="18" hidden="false" customHeight="true" outlineLevel="0" collapsed="false">
      <c r="B129" s="971" t="s">
        <v>3681</v>
      </c>
      <c r="C129" s="972" t="n">
        <f aca="false">C31*C36</f>
        <v>270.9</v>
      </c>
      <c r="D129" s="565" t="s">
        <v>3682</v>
      </c>
      <c r="E129" s="6"/>
    </row>
    <row r="130" customFormat="false" ht="18" hidden="false" customHeight="true" outlineLevel="0" collapsed="false">
      <c r="B130" s="973" t="s">
        <v>3683</v>
      </c>
      <c r="C130" s="974" t="n">
        <f aca="false">C31*(1-C36)</f>
        <v>180.6</v>
      </c>
      <c r="D130" s="565" t="s">
        <v>3684</v>
      </c>
      <c r="E130" s="6"/>
    </row>
    <row r="131" customFormat="false" ht="18" hidden="false" customHeight="true" outlineLevel="0" collapsed="false">
      <c r="B131" s="128" t="s">
        <v>3685</v>
      </c>
      <c r="C131" s="968" t="n">
        <f aca="false">C31*(1-C36)*C41</f>
        <v>117.39</v>
      </c>
      <c r="D131" s="565" t="s">
        <v>3686</v>
      </c>
      <c r="E131" s="6"/>
    </row>
    <row r="132" customFormat="false" ht="18" hidden="false" customHeight="true" outlineLevel="0" collapsed="false">
      <c r="B132" s="128" t="s">
        <v>3687</v>
      </c>
      <c r="C132" s="968" t="n">
        <f aca="false">C31*(1-C36)*(1-C41)</f>
        <v>63.21</v>
      </c>
      <c r="D132" s="565" t="s">
        <v>3688</v>
      </c>
      <c r="E132" s="6"/>
    </row>
    <row r="133" customFormat="false" ht="15" hidden="false" customHeight="true" outlineLevel="0" collapsed="false">
      <c r="B133" s="6"/>
      <c r="E133" s="6"/>
    </row>
    <row r="134" customFormat="false" ht="18" hidden="false" customHeight="true" outlineLevel="0" collapsed="false">
      <c r="B134" s="128" t="s">
        <v>3689</v>
      </c>
      <c r="C134" s="975" t="n">
        <f aca="false">C31*C36+C31*(1-C36)</f>
        <v>451.5</v>
      </c>
      <c r="D134" s="565" t="s">
        <v>3690</v>
      </c>
      <c r="E134" s="6"/>
    </row>
    <row r="135" customFormat="false" ht="15" hidden="false" customHeight="true" outlineLevel="0" collapsed="false">
      <c r="B135" s="6"/>
      <c r="E135" s="6"/>
    </row>
    <row r="136" customFormat="false" ht="15" hidden="false" customHeight="true" outlineLevel="0" collapsed="false">
      <c r="B136" s="6"/>
      <c r="E136" s="6"/>
    </row>
    <row r="137" customFormat="false" ht="21.75" hidden="false" customHeight="true" outlineLevel="0" collapsed="false">
      <c r="B137" s="6"/>
      <c r="E137" s="6"/>
    </row>
    <row r="138" customFormat="false" ht="27.75" hidden="false" customHeight="true" outlineLevel="0" collapsed="false">
      <c r="B138" s="6"/>
      <c r="E138" s="6"/>
    </row>
    <row r="139" customFormat="false" ht="18" hidden="false" customHeight="true" outlineLevel="0" collapsed="false">
      <c r="B139" s="6"/>
      <c r="E139" s="6"/>
    </row>
    <row r="140" customFormat="false" ht="18" hidden="false" customHeight="true" outlineLevel="0" collapsed="false">
      <c r="B140" s="6"/>
      <c r="E140" s="6"/>
    </row>
    <row r="141" customFormat="false" ht="18" hidden="false" customHeight="true" outlineLevel="0" collapsed="false">
      <c r="B141" s="6"/>
      <c r="E141" s="6"/>
    </row>
    <row r="142" customFormat="false" ht="18" hidden="false" customHeight="true" outlineLevel="0" collapsed="false">
      <c r="B142" s="6"/>
      <c r="E142" s="6"/>
    </row>
    <row r="143" customFormat="false" ht="18" hidden="false" customHeight="true" outlineLevel="0" collapsed="false">
      <c r="B143" s="6"/>
      <c r="E143" s="6"/>
    </row>
    <row r="144" customFormat="false" ht="15" hidden="false" customHeight="true" outlineLevel="0" collapsed="false">
      <c r="B144" s="6"/>
      <c r="E144" s="6"/>
    </row>
    <row r="145" customFormat="false" ht="15" hidden="false" customHeight="true" outlineLevel="0" collapsed="false">
      <c r="B145" s="6"/>
      <c r="E145" s="6"/>
    </row>
    <row r="146" customFormat="false" ht="33.75" hidden="false" customHeight="true" outlineLevel="0" collapsed="false">
      <c r="B146" s="72" t="s">
        <v>3691</v>
      </c>
      <c r="C146" s="72"/>
      <c r="D146" s="72"/>
      <c r="E146" s="6"/>
    </row>
    <row r="147" customFormat="false" ht="33.75" hidden="false" customHeight="true" outlineLevel="0" collapsed="false">
      <c r="B147" s="961" t="s">
        <v>3692</v>
      </c>
      <c r="C147" s="961"/>
      <c r="D147" s="961"/>
      <c r="E147" s="6"/>
    </row>
    <row r="148" customFormat="false" ht="15" hidden="false" customHeight="true" outlineLevel="0" collapsed="false">
      <c r="B148" s="6"/>
      <c r="E148" s="6"/>
    </row>
    <row r="149" customFormat="false" ht="18" hidden="false" customHeight="true" outlineLevel="0" collapsed="false">
      <c r="B149" s="113" t="s">
        <v>3693</v>
      </c>
      <c r="C149" s="951" t="n">
        <v>3</v>
      </c>
      <c r="D149" s="565" t="s">
        <v>3694</v>
      </c>
      <c r="E149" s="6"/>
    </row>
    <row r="150" customFormat="false" ht="18" hidden="false" customHeight="true" outlineLevel="0" collapsed="false">
      <c r="B150" s="113" t="s">
        <v>3695</v>
      </c>
      <c r="C150" s="936" t="n">
        <v>0.3</v>
      </c>
      <c r="D150" s="565" t="s">
        <v>3696</v>
      </c>
      <c r="E150" s="6"/>
    </row>
    <row r="151" customFormat="false" ht="18" hidden="false" customHeight="true" outlineLevel="0" collapsed="false">
      <c r="B151" s="592" t="s">
        <v>3697</v>
      </c>
      <c r="C151" s="976" t="n">
        <f aca="false">C117*52*C149*(1-C150)</f>
        <v>117390</v>
      </c>
      <c r="D151" s="565" t="s">
        <v>3698</v>
      </c>
      <c r="E151" s="6"/>
    </row>
    <row r="152" customFormat="false" ht="18" hidden="false" customHeight="true" outlineLevel="0" collapsed="false">
      <c r="B152" s="592" t="s">
        <v>3699</v>
      </c>
      <c r="C152" s="977" t="n">
        <f aca="false">C117*52*C149*C150</f>
        <v>50310</v>
      </c>
      <c r="D152" s="565" t="s">
        <v>3700</v>
      </c>
      <c r="E152" s="6"/>
    </row>
    <row r="153" customFormat="false" ht="15" hidden="false" customHeight="true" outlineLevel="0" collapsed="false">
      <c r="B153" s="6"/>
      <c r="E153" s="6"/>
    </row>
    <row r="154" customFormat="false" ht="15" hidden="false" customHeight="true" outlineLevel="0" collapsed="false">
      <c r="B154" s="6"/>
      <c r="E154" s="6"/>
    </row>
    <row r="155" customFormat="false" ht="33.75" hidden="false" customHeight="true" outlineLevel="0" collapsed="false">
      <c r="B155" s="978" t="s">
        <v>3701</v>
      </c>
      <c r="C155" s="978"/>
      <c r="D155" s="978"/>
      <c r="E155" s="6"/>
    </row>
    <row r="156" customFormat="false" ht="18" hidden="false" customHeight="true" outlineLevel="0" collapsed="false">
      <c r="B156" s="113" t="s">
        <v>3702</v>
      </c>
      <c r="C156" s="939" t="n">
        <v>8</v>
      </c>
      <c r="D156" s="565" t="s">
        <v>3703</v>
      </c>
      <c r="E156" s="6"/>
    </row>
    <row r="157" customFormat="false" ht="18" hidden="false" customHeight="true" outlineLevel="0" collapsed="false">
      <c r="B157" s="113" t="s">
        <v>3704</v>
      </c>
      <c r="C157" s="939" t="n">
        <v>26</v>
      </c>
      <c r="D157" s="565" t="s">
        <v>3705</v>
      </c>
      <c r="E157" s="6"/>
    </row>
    <row r="158" customFormat="false" ht="18" hidden="false" customHeight="true" outlineLevel="0" collapsed="false">
      <c r="B158" s="592" t="s">
        <v>3706</v>
      </c>
      <c r="C158" s="979" t="n">
        <f aca="false">C156+C157</f>
        <v>34</v>
      </c>
      <c r="D158" s="565" t="s">
        <v>3707</v>
      </c>
      <c r="E158" s="6"/>
    </row>
    <row r="159" customFormat="false" ht="18" hidden="false" customHeight="true" outlineLevel="0" collapsed="false">
      <c r="B159" s="128" t="s">
        <v>2460</v>
      </c>
      <c r="C159" s="980" t="str">
        <f aca="false">IF(C158=C25,"✓ OK","✗ Adjust to match 34")</f>
        <v>✓ OK</v>
      </c>
      <c r="E159" s="6"/>
    </row>
    <row r="160" customFormat="false" ht="18" hidden="false" customHeight="true" outlineLevel="0" collapsed="false">
      <c r="B160" s="592" t="s">
        <v>3708</v>
      </c>
      <c r="C160" s="981" t="n">
        <f aca="false">(C156*4+C157*2)/C158</f>
        <v>2.47058823529412</v>
      </c>
      <c r="D160" s="565" t="s">
        <v>3709</v>
      </c>
      <c r="E160" s="6"/>
    </row>
    <row r="161" customFormat="false" ht="18" hidden="false" customHeight="true" outlineLevel="0" collapsed="false">
      <c r="B161" s="592" t="s">
        <v>3710</v>
      </c>
      <c r="C161" s="932" t="n">
        <f aca="false">C156*4+C157*2</f>
        <v>84</v>
      </c>
      <c r="D161" s="565" t="s">
        <v>3711</v>
      </c>
      <c r="E161" s="6"/>
    </row>
    <row r="162" customFormat="false" ht="15" hidden="false" customHeight="true" outlineLevel="0" collapsed="false">
      <c r="B162" s="6"/>
      <c r="E162" s="6"/>
    </row>
    <row r="163" customFormat="false" ht="108.75" hidden="false" customHeight="true" outlineLevel="0" collapsed="false">
      <c r="B163" s="982" t="s">
        <v>3712</v>
      </c>
      <c r="C163" s="982"/>
      <c r="D163" s="982"/>
      <c r="E163" s="6"/>
    </row>
    <row r="164" customFormat="false" ht="18" hidden="false" customHeight="true" outlineLevel="0" collapsed="false">
      <c r="B164" s="982"/>
      <c r="C164" s="982"/>
      <c r="D164" s="982"/>
      <c r="E164" s="6"/>
    </row>
    <row r="165" customFormat="false" ht="18" hidden="false" customHeight="true" outlineLevel="0" collapsed="false">
      <c r="B165" s="982"/>
      <c r="C165" s="982"/>
      <c r="D165" s="982"/>
      <c r="E165" s="6"/>
    </row>
    <row r="166" customFormat="false" ht="33.75" hidden="false" customHeight="true" outlineLevel="0" collapsed="false">
      <c r="B166" s="72" t="s">
        <v>3713</v>
      </c>
      <c r="C166" s="72"/>
      <c r="D166" s="72"/>
      <c r="E166" s="6"/>
    </row>
    <row r="167" customFormat="false" ht="48.75" hidden="false" customHeight="true" outlineLevel="0" collapsed="false">
      <c r="B167" s="961" t="s">
        <v>3714</v>
      </c>
      <c r="C167" s="961"/>
      <c r="D167" s="961"/>
      <c r="E167" s="6"/>
    </row>
    <row r="168" customFormat="false" ht="15" hidden="false" customHeight="true" outlineLevel="0" collapsed="false">
      <c r="B168" s="6"/>
      <c r="E168" s="6"/>
    </row>
    <row r="169" customFormat="false" ht="18" hidden="false" customHeight="true" outlineLevel="0" collapsed="false">
      <c r="B169" s="113" t="s">
        <v>3715</v>
      </c>
      <c r="C169" s="939" t="n">
        <v>6</v>
      </c>
      <c r="D169" s="565" t="s">
        <v>3703</v>
      </c>
      <c r="E169" s="6"/>
    </row>
    <row r="170" customFormat="false" ht="18" hidden="false" customHeight="true" outlineLevel="0" collapsed="false">
      <c r="B170" s="113" t="s">
        <v>3716</v>
      </c>
      <c r="C170" s="939" t="n">
        <v>22</v>
      </c>
      <c r="D170" s="565" t="s">
        <v>3705</v>
      </c>
      <c r="E170" s="6"/>
    </row>
    <row r="171" customFormat="false" ht="18" hidden="false" customHeight="true" outlineLevel="0" collapsed="false">
      <c r="B171" s="113" t="s">
        <v>3717</v>
      </c>
      <c r="C171" s="939" t="n">
        <v>6</v>
      </c>
      <c r="D171" s="565" t="s">
        <v>3718</v>
      </c>
      <c r="E171" s="6"/>
    </row>
    <row r="172" customFormat="false" ht="18" hidden="false" customHeight="true" outlineLevel="0" collapsed="false">
      <c r="B172" s="592" t="s">
        <v>3719</v>
      </c>
      <c r="C172" s="979" t="n">
        <f aca="false">C169+C170+C171</f>
        <v>34</v>
      </c>
      <c r="D172" s="565" t="s">
        <v>3720</v>
      </c>
      <c r="E172" s="6"/>
    </row>
    <row r="173" customFormat="false" ht="18" hidden="false" customHeight="true" outlineLevel="0" collapsed="false">
      <c r="B173" s="866" t="s">
        <v>2460</v>
      </c>
      <c r="C173" s="980" t="str">
        <f aca="false">IF(C172=C25,"✓ OK","✗ Adjust to match "&amp;C25)</f>
        <v>✓ OK</v>
      </c>
      <c r="E173" s="6"/>
    </row>
    <row r="174" customFormat="false" ht="18" hidden="false" customHeight="true" outlineLevel="0" collapsed="false">
      <c r="B174" s="983" t="s">
        <v>3721</v>
      </c>
      <c r="C174" s="984" t="n">
        <f aca="false">C169*4+C170*2+C171*1</f>
        <v>74</v>
      </c>
      <c r="D174" s="985" t="s">
        <v>3722</v>
      </c>
      <c r="E174" s="6"/>
    </row>
    <row r="175" customFormat="false" ht="15" hidden="false" customHeight="true" outlineLevel="0" collapsed="false">
      <c r="B175" s="6"/>
      <c r="E175" s="6"/>
    </row>
    <row r="176" customFormat="false" ht="15" hidden="false" customHeight="true" outlineLevel="0" collapsed="false">
      <c r="B176" s="6"/>
      <c r="E176" s="6"/>
    </row>
    <row r="177" customFormat="false" ht="21.75" hidden="false" customHeight="true" outlineLevel="0" collapsed="false">
      <c r="B177" s="72" t="s">
        <v>3723</v>
      </c>
      <c r="C177" s="72"/>
      <c r="D177" s="72"/>
      <c r="E177" s="6"/>
    </row>
    <row r="178" customFormat="false" ht="48.75" hidden="false" customHeight="true" outlineLevel="0" collapsed="false">
      <c r="B178" s="961" t="s">
        <v>3724</v>
      </c>
      <c r="C178" s="961"/>
      <c r="D178" s="961"/>
      <c r="E178" s="6"/>
    </row>
    <row r="179" customFormat="false" ht="15" hidden="false" customHeight="true" outlineLevel="0" collapsed="false">
      <c r="B179" s="6"/>
      <c r="E179" s="6"/>
    </row>
    <row r="180" customFormat="false" ht="18" hidden="false" customHeight="true" outlineLevel="0" collapsed="false">
      <c r="B180" s="113" t="s">
        <v>3725</v>
      </c>
      <c r="C180" s="945" t="n">
        <v>150</v>
      </c>
      <c r="D180" s="565" t="s">
        <v>3726</v>
      </c>
      <c r="E180" s="6"/>
    </row>
    <row r="181" customFormat="false" ht="33.75" hidden="false" customHeight="true" outlineLevel="0" collapsed="false">
      <c r="B181" s="592" t="s">
        <v>3727</v>
      </c>
      <c r="C181" s="976" t="n">
        <f aca="false">C75*C180</f>
        <v>6000</v>
      </c>
      <c r="D181" s="985" t="s">
        <v>3728</v>
      </c>
      <c r="E181" s="6"/>
    </row>
    <row r="182" customFormat="false" ht="18" hidden="false" customHeight="true" outlineLevel="0" collapsed="false">
      <c r="B182" s="971" t="s">
        <v>3729</v>
      </c>
      <c r="C182" s="977" t="n">
        <f aca="false">C181</f>
        <v>6000</v>
      </c>
      <c r="D182" s="565" t="s">
        <v>3730</v>
      </c>
      <c r="E182" s="6"/>
    </row>
    <row r="183" customFormat="false" ht="15" hidden="false" customHeight="true" outlineLevel="0" collapsed="false">
      <c r="B183" s="6"/>
      <c r="E183" s="6"/>
    </row>
    <row r="184" customFormat="false" ht="15" hidden="false" customHeight="true" outlineLevel="0" collapsed="false">
      <c r="B184" s="6"/>
      <c r="E184" s="6"/>
    </row>
    <row r="185" customFormat="false" ht="33.75" hidden="false" customHeight="true" outlineLevel="0" collapsed="false">
      <c r="B185" s="72" t="s">
        <v>3731</v>
      </c>
      <c r="C185" s="72"/>
      <c r="D185" s="72"/>
      <c r="E185" s="72"/>
      <c r="F185" s="72"/>
      <c r="G185" s="72"/>
      <c r="H185" s="72"/>
      <c r="I185" s="72"/>
    </row>
    <row r="186" customFormat="false" ht="48.75" hidden="false" customHeight="true" outlineLevel="0" collapsed="false">
      <c r="B186" s="961" t="s">
        <v>3732</v>
      </c>
      <c r="C186" s="961"/>
      <c r="D186" s="961"/>
      <c r="E186" s="961"/>
      <c r="F186" s="961"/>
      <c r="G186" s="961"/>
      <c r="H186" s="961"/>
      <c r="I186" s="961"/>
    </row>
    <row r="187" customFormat="false" ht="15" hidden="false" customHeight="true" outlineLevel="0" collapsed="false">
      <c r="B187" s="6"/>
      <c r="E187" s="6"/>
    </row>
    <row r="188" customFormat="false" ht="23.25" hidden="false" customHeight="true" outlineLevel="0" collapsed="false">
      <c r="B188" s="880" t="s">
        <v>3733</v>
      </c>
      <c r="C188" s="881" t="s">
        <v>3734</v>
      </c>
      <c r="D188" s="881" t="s">
        <v>3735</v>
      </c>
      <c r="E188" s="880" t="s">
        <v>3736</v>
      </c>
      <c r="F188" s="881" t="s">
        <v>3737</v>
      </c>
      <c r="G188" s="881" t="s">
        <v>3738</v>
      </c>
      <c r="H188" s="881" t="s">
        <v>3739</v>
      </c>
      <c r="I188" s="881" t="s">
        <v>3740</v>
      </c>
      <c r="J188" s="881" t="s">
        <v>3741</v>
      </c>
    </row>
    <row r="189" customFormat="false" ht="18" hidden="false" customHeight="true" outlineLevel="0" collapsed="false">
      <c r="B189" s="113" t="s">
        <v>3742</v>
      </c>
      <c r="C189" s="936" t="n">
        <v>0.06</v>
      </c>
      <c r="D189" s="936" t="n">
        <v>0.06</v>
      </c>
      <c r="E189" s="986" t="n">
        <v>0.15</v>
      </c>
      <c r="F189" s="936" t="n">
        <v>0.06</v>
      </c>
      <c r="G189" s="936" t="n">
        <v>0.2</v>
      </c>
      <c r="H189" s="936" t="n">
        <v>0.25</v>
      </c>
      <c r="I189" s="936" t="n">
        <v>0.22</v>
      </c>
      <c r="J189" s="987" t="n">
        <f aca="false">SUM(C189:I189)</f>
        <v>1</v>
      </c>
    </row>
    <row r="190" customFormat="false" ht="18" hidden="false" customHeight="true" outlineLevel="0" collapsed="false">
      <c r="B190" s="128" t="s">
        <v>2460</v>
      </c>
      <c r="C190" s="980" t="str">
        <f aca="false">IF(ABS(SUM(C189:I189)-1)&lt;0.001,"✓ Sums to 100%","✗ Adjust")</f>
        <v>✓ Sums to 100%</v>
      </c>
      <c r="E190" s="6"/>
    </row>
    <row r="191" customFormat="false" ht="18" hidden="false" customHeight="true" outlineLevel="0" collapsed="false">
      <c r="B191" s="128" t="s">
        <v>3743</v>
      </c>
      <c r="C191" s="968" t="n">
        <f aca="false">C189*C117</f>
        <v>64.5</v>
      </c>
      <c r="D191" s="968" t="n">
        <f aca="false">D189*C117</f>
        <v>64.5</v>
      </c>
      <c r="E191" s="988" t="n">
        <f aca="false">E189*C117</f>
        <v>161.25</v>
      </c>
      <c r="F191" s="968" t="n">
        <f aca="false">F189*C117</f>
        <v>64.5</v>
      </c>
      <c r="G191" s="968" t="n">
        <f aca="false">G189*C117</f>
        <v>215</v>
      </c>
      <c r="H191" s="968" t="n">
        <f aca="false">H189*C117</f>
        <v>268.75</v>
      </c>
      <c r="I191" s="968" t="n">
        <f aca="false">I189*C117</f>
        <v>236.5</v>
      </c>
      <c r="J191" s="975" t="n">
        <f aca="false">SUM(C191:I191)</f>
        <v>1075</v>
      </c>
    </row>
    <row r="192" customFormat="false" ht="15" hidden="false" customHeight="true" outlineLevel="0" collapsed="false">
      <c r="B192" s="6"/>
      <c r="E192" s="6"/>
    </row>
    <row r="193" customFormat="false" ht="15" hidden="false" customHeight="true" outlineLevel="0" collapsed="false">
      <c r="B193" s="6"/>
      <c r="E193" s="6"/>
    </row>
    <row r="194" customFormat="false" ht="21.75" hidden="false" customHeight="true" outlineLevel="0" collapsed="false">
      <c r="B194" s="72" t="s">
        <v>3744</v>
      </c>
      <c r="C194" s="72"/>
      <c r="D194" s="72"/>
      <c r="E194" s="72"/>
      <c r="F194" s="72"/>
      <c r="G194" s="72"/>
      <c r="H194" s="72"/>
      <c r="I194" s="72"/>
    </row>
    <row r="195" customFormat="false" ht="33.75" hidden="false" customHeight="true" outlineLevel="0" collapsed="false">
      <c r="B195" s="961" t="s">
        <v>3745</v>
      </c>
      <c r="C195" s="961"/>
      <c r="D195" s="961"/>
      <c r="E195" s="961"/>
      <c r="F195" s="961"/>
      <c r="G195" s="961"/>
      <c r="H195" s="961"/>
      <c r="I195" s="961"/>
    </row>
    <row r="196" customFormat="false" ht="15" hidden="false" customHeight="true" outlineLevel="0" collapsed="false">
      <c r="B196" s="6"/>
      <c r="E196" s="6"/>
    </row>
    <row r="197" customFormat="false" ht="23.25" hidden="false" customHeight="true" outlineLevel="0" collapsed="false">
      <c r="B197" s="880" t="s">
        <v>3733</v>
      </c>
      <c r="C197" s="881" t="s">
        <v>3734</v>
      </c>
      <c r="D197" s="881" t="s">
        <v>3735</v>
      </c>
      <c r="E197" s="880" t="s">
        <v>3736</v>
      </c>
      <c r="F197" s="881" t="s">
        <v>3737</v>
      </c>
      <c r="G197" s="881" t="s">
        <v>3738</v>
      </c>
      <c r="H197" s="881" t="s">
        <v>3739</v>
      </c>
      <c r="I197" s="881" t="s">
        <v>3740</v>
      </c>
      <c r="J197" s="881" t="s">
        <v>945</v>
      </c>
    </row>
    <row r="198" customFormat="false" ht="18" hidden="false" customHeight="true" outlineLevel="0" collapsed="false">
      <c r="B198" s="113" t="s">
        <v>3746</v>
      </c>
      <c r="C198" s="936" t="n">
        <v>0.65</v>
      </c>
      <c r="D198" s="936" t="n">
        <v>0.65</v>
      </c>
      <c r="E198" s="986" t="n">
        <v>0.55</v>
      </c>
      <c r="F198" s="936" t="n">
        <v>0.65</v>
      </c>
      <c r="G198" s="936" t="n">
        <v>0.6</v>
      </c>
      <c r="H198" s="936" t="n">
        <v>0.55</v>
      </c>
      <c r="I198" s="936" t="n">
        <v>0.55</v>
      </c>
      <c r="J198" s="987" t="n">
        <f aca="false">AVERAGE(C198:I198)</f>
        <v>0.6</v>
      </c>
    </row>
    <row r="199" customFormat="false" ht="18" hidden="false" customHeight="true" outlineLevel="0" collapsed="false">
      <c r="B199" s="128" t="s">
        <v>3747</v>
      </c>
      <c r="C199" s="968" t="n">
        <f aca="false">C191*C198</f>
        <v>41.925</v>
      </c>
      <c r="D199" s="968" t="n">
        <f aca="false">D191*D198</f>
        <v>41.925</v>
      </c>
      <c r="E199" s="988" t="n">
        <f aca="false">E191*E198</f>
        <v>88.6875</v>
      </c>
      <c r="F199" s="968" t="n">
        <f aca="false">F191*F198</f>
        <v>41.925</v>
      </c>
      <c r="G199" s="968" t="n">
        <f aca="false">G191*G198</f>
        <v>129</v>
      </c>
      <c r="H199" s="968" t="n">
        <f aca="false">H191*H198</f>
        <v>147.8125</v>
      </c>
      <c r="I199" s="968" t="n">
        <f aca="false">I191*I198</f>
        <v>130.075</v>
      </c>
      <c r="J199" s="975" t="n">
        <f aca="false">SUM(C199:I199)</f>
        <v>621.35</v>
      </c>
    </row>
    <row r="200" customFormat="false" ht="18" hidden="false" customHeight="true" outlineLevel="0" collapsed="false">
      <c r="B200" s="128" t="s">
        <v>3748</v>
      </c>
      <c r="C200" s="968" t="n">
        <f aca="false">C191*(1-C198)</f>
        <v>22.575</v>
      </c>
      <c r="D200" s="968" t="n">
        <f aca="false">D191*(1-D198)</f>
        <v>22.575</v>
      </c>
      <c r="E200" s="988" t="n">
        <f aca="false">E191*(1-E198)</f>
        <v>72.5625</v>
      </c>
      <c r="F200" s="968" t="n">
        <f aca="false">F191*(1-F198)</f>
        <v>22.575</v>
      </c>
      <c r="G200" s="968" t="n">
        <f aca="false">G191*(1-G198)</f>
        <v>86</v>
      </c>
      <c r="H200" s="968" t="n">
        <f aca="false">H191*(1-H198)</f>
        <v>120.9375</v>
      </c>
      <c r="I200" s="968" t="n">
        <f aca="false">I191*(1-I198)</f>
        <v>106.425</v>
      </c>
      <c r="J200" s="975" t="n">
        <f aca="false">SUM(C200:I200)</f>
        <v>453.65</v>
      </c>
    </row>
    <row r="201" customFormat="false" ht="15" hidden="false" customHeight="true" outlineLevel="0" collapsed="false">
      <c r="B201" s="6"/>
      <c r="E201" s="6"/>
    </row>
    <row r="202" customFormat="false" ht="15" hidden="false" customHeight="true" outlineLevel="0" collapsed="false">
      <c r="B202" s="6"/>
      <c r="E202" s="6"/>
    </row>
    <row r="203" customFormat="false" ht="21.75" hidden="false" customHeight="true" outlineLevel="0" collapsed="false">
      <c r="B203" s="72" t="s">
        <v>3749</v>
      </c>
      <c r="C203" s="72"/>
      <c r="D203" s="72"/>
      <c r="E203" s="72"/>
    </row>
    <row r="204" customFormat="false" ht="23.25" hidden="false" customHeight="true" outlineLevel="0" collapsed="false">
      <c r="B204" s="880" t="s">
        <v>3750</v>
      </c>
      <c r="C204" s="881" t="s">
        <v>3751</v>
      </c>
      <c r="D204" s="881" t="s">
        <v>3752</v>
      </c>
      <c r="E204" s="880" t="s">
        <v>778</v>
      </c>
    </row>
    <row r="205" customFormat="false" ht="18" hidden="false" customHeight="true" outlineLevel="0" collapsed="false">
      <c r="B205" s="113" t="s">
        <v>3753</v>
      </c>
      <c r="C205" s="939" t="n">
        <v>8</v>
      </c>
      <c r="D205" s="989" t="n">
        <v>1.3</v>
      </c>
      <c r="E205" s="128" t="s">
        <v>3754</v>
      </c>
    </row>
    <row r="206" customFormat="false" ht="18" hidden="false" customHeight="true" outlineLevel="0" collapsed="false">
      <c r="B206" s="113" t="s">
        <v>3755</v>
      </c>
      <c r="C206" s="939" t="n">
        <v>2</v>
      </c>
      <c r="D206" s="989" t="n">
        <v>1.4</v>
      </c>
      <c r="E206" s="128" t="s">
        <v>3756</v>
      </c>
    </row>
    <row r="207" customFormat="false" ht="18" hidden="false" customHeight="true" outlineLevel="0" collapsed="false">
      <c r="B207" s="113" t="s">
        <v>3757</v>
      </c>
      <c r="C207" s="939" t="n">
        <v>2</v>
      </c>
      <c r="D207" s="989" t="n">
        <v>1.2</v>
      </c>
      <c r="E207" s="128" t="s">
        <v>3758</v>
      </c>
    </row>
    <row r="208" customFormat="false" ht="18" hidden="false" customHeight="true" outlineLevel="0" collapsed="false">
      <c r="B208" s="592" t="s">
        <v>3759</v>
      </c>
      <c r="C208" s="990" t="n">
        <f aca="false">52-C205-C206-C207</f>
        <v>40</v>
      </c>
      <c r="D208" s="991" t="s">
        <v>9</v>
      </c>
      <c r="E208" s="128" t="s">
        <v>3760</v>
      </c>
    </row>
    <row r="209" customFormat="false" ht="15" hidden="false" customHeight="true" outlineLevel="0" collapsed="false">
      <c r="B209" s="6"/>
      <c r="E209" s="6"/>
    </row>
    <row r="210" customFormat="false" ht="18" hidden="false" customHeight="true" outlineLevel="0" collapsed="false">
      <c r="B210" s="905" t="s">
        <v>3761</v>
      </c>
      <c r="C210" s="992" t="n">
        <f aca="false">(C205*D205+C206*D206+C207*D207+C208*D208)/52</f>
        <v>1.06923076923077</v>
      </c>
      <c r="D210" s="565" t="s">
        <v>3762</v>
      </c>
      <c r="E210" s="6"/>
    </row>
    <row r="211" customFormat="false" ht="15" hidden="false" customHeight="true" outlineLevel="0" collapsed="false">
      <c r="B211" s="6"/>
      <c r="E211" s="6"/>
    </row>
    <row r="212" customFormat="false" ht="15" hidden="false" customHeight="true" outlineLevel="0" collapsed="false">
      <c r="B212" s="6"/>
      <c r="E212" s="6"/>
    </row>
    <row r="213" customFormat="false" ht="21.75" hidden="false" customHeight="true" outlineLevel="0" collapsed="false">
      <c r="B213" s="6"/>
      <c r="E213" s="6"/>
    </row>
    <row r="214" customFormat="false" ht="18" hidden="false" customHeight="true" outlineLevel="0" collapsed="false">
      <c r="B214" s="6"/>
      <c r="E214" s="6"/>
    </row>
    <row r="215" customFormat="false" ht="18" hidden="false" customHeight="true" outlineLevel="0" collapsed="false">
      <c r="B215" s="6"/>
      <c r="E215" s="6"/>
    </row>
    <row r="216" customFormat="false" ht="18" hidden="false" customHeight="true" outlineLevel="0" collapsed="false">
      <c r="B216" s="6"/>
      <c r="E216" s="6"/>
    </row>
    <row r="217" customFormat="false" ht="18" hidden="false" customHeight="true" outlineLevel="0" collapsed="false">
      <c r="B217" s="6"/>
      <c r="E217" s="6"/>
    </row>
    <row r="218" customFormat="false" ht="18" hidden="false" customHeight="true" outlineLevel="0" collapsed="false">
      <c r="B218" s="6"/>
      <c r="E218" s="6"/>
    </row>
    <row r="219" customFormat="false" ht="18" hidden="false" customHeight="true" outlineLevel="0" collapsed="false">
      <c r="B219" s="6"/>
      <c r="E219" s="6"/>
    </row>
    <row r="220" customFormat="false" ht="21.75" hidden="false" customHeight="true" outlineLevel="0" collapsed="false">
      <c r="B220" s="6"/>
      <c r="E220" s="6"/>
    </row>
    <row r="221" customFormat="false" ht="33.75" hidden="false" customHeight="true" outlineLevel="0" collapsed="false">
      <c r="B221" s="575" t="s">
        <v>3763</v>
      </c>
      <c r="C221" s="575"/>
      <c r="D221" s="575"/>
      <c r="E221" s="575"/>
    </row>
    <row r="222" customFormat="false" ht="18" hidden="false" customHeight="true" outlineLevel="0" collapsed="false">
      <c r="B222" s="113" t="s">
        <v>3764</v>
      </c>
      <c r="C222" s="936" t="n">
        <v>0.02</v>
      </c>
      <c r="D222" s="958" t="s">
        <v>3765</v>
      </c>
      <c r="E222" s="6"/>
    </row>
    <row r="223" customFormat="false" ht="18" hidden="false" customHeight="true" outlineLevel="0" collapsed="false">
      <c r="B223" s="113" t="s">
        <v>3766</v>
      </c>
      <c r="C223" s="939" t="n">
        <v>7</v>
      </c>
      <c r="D223" s="958" t="s">
        <v>3767</v>
      </c>
      <c r="E223" s="6"/>
    </row>
    <row r="224" customFormat="false" ht="18" hidden="false" customHeight="true" outlineLevel="0" collapsed="false">
      <c r="B224" s="113" t="s">
        <v>3768</v>
      </c>
      <c r="C224" s="939" t="n">
        <v>30</v>
      </c>
      <c r="D224" s="958" t="s">
        <v>3769</v>
      </c>
      <c r="E224" s="6"/>
    </row>
    <row r="225" customFormat="false" ht="18" hidden="false" customHeight="true" outlineLevel="0" collapsed="false">
      <c r="B225" s="6"/>
      <c r="E225" s="6"/>
    </row>
    <row r="226" customFormat="false" ht="33.75" hidden="false" customHeight="true" outlineLevel="0" collapsed="false">
      <c r="B226" s="575" t="s">
        <v>3770</v>
      </c>
      <c r="C226" s="575"/>
      <c r="D226" s="575"/>
      <c r="E226" s="575"/>
    </row>
    <row r="227" customFormat="false" ht="18" hidden="false" customHeight="true" outlineLevel="0" collapsed="false">
      <c r="B227" s="113" t="s">
        <v>3771</v>
      </c>
      <c r="C227" s="936" t="n">
        <v>0.03</v>
      </c>
      <c r="D227" s="958" t="s">
        <v>3772</v>
      </c>
      <c r="E227" s="6"/>
    </row>
    <row r="228" customFormat="false" ht="18" hidden="false" customHeight="true" outlineLevel="0" collapsed="false">
      <c r="B228" s="6"/>
      <c r="E228" s="6"/>
    </row>
    <row r="229" customFormat="false" ht="18" hidden="false" customHeight="true" outlineLevel="0" collapsed="false">
      <c r="B229" s="6"/>
      <c r="E229" s="6"/>
    </row>
    <row r="230" customFormat="false" ht="21.75" hidden="false" customHeight="true" outlineLevel="0" collapsed="false">
      <c r="B230" s="6"/>
      <c r="E230" s="6"/>
    </row>
    <row r="231" customFormat="false" ht="18" hidden="false" customHeight="true" outlineLevel="0" collapsed="false">
      <c r="B231" s="6"/>
      <c r="E231" s="6"/>
    </row>
    <row r="232" customFormat="false" ht="33.75" hidden="false" customHeight="true" outlineLevel="0" collapsed="false">
      <c r="B232" s="72" t="s">
        <v>3773</v>
      </c>
      <c r="C232" s="72"/>
      <c r="D232" s="72"/>
      <c r="E232" s="72"/>
      <c r="F232" s="72"/>
      <c r="G232" s="72"/>
      <c r="H232" s="72"/>
    </row>
    <row r="233" customFormat="false" ht="48.75" hidden="false" customHeight="true" outlineLevel="0" collapsed="false">
      <c r="B233" s="323" t="s">
        <v>3774</v>
      </c>
      <c r="C233" s="323"/>
      <c r="D233" s="323"/>
      <c r="E233" s="323"/>
      <c r="F233" s="323"/>
      <c r="G233" s="323"/>
      <c r="H233" s="323"/>
    </row>
    <row r="234" customFormat="false" ht="6" hidden="false" customHeight="true" outlineLevel="0" collapsed="false">
      <c r="B234" s="6"/>
      <c r="E234" s="6"/>
    </row>
    <row r="235" customFormat="false" ht="19.5" hidden="false" customHeight="true" outlineLevel="0" collapsed="false">
      <c r="B235" s="97" t="s">
        <v>666</v>
      </c>
      <c r="C235" s="551" t="s">
        <v>393</v>
      </c>
      <c r="D235" s="551" t="s">
        <v>3775</v>
      </c>
      <c r="E235" s="6"/>
    </row>
    <row r="236" customFormat="false" ht="15.75" hidden="false" customHeight="true" outlineLevel="0" collapsed="false">
      <c r="B236" s="113" t="s">
        <v>3776</v>
      </c>
      <c r="C236" s="993" t="n">
        <f aca="false">C117*C18</f>
        <v>451.5</v>
      </c>
      <c r="D236" s="565" t="s">
        <v>3777</v>
      </c>
      <c r="E236" s="6"/>
    </row>
    <row r="237" customFormat="false" ht="15.75" hidden="false" customHeight="true" outlineLevel="0" collapsed="false">
      <c r="B237" s="113" t="s">
        <v>3778</v>
      </c>
      <c r="C237" s="993" t="n">
        <f aca="false">C236*C30</f>
        <v>903</v>
      </c>
      <c r="D237" s="565" t="s">
        <v>3779</v>
      </c>
      <c r="E237" s="6"/>
    </row>
    <row r="238" customFormat="false" ht="15.75" hidden="false" customHeight="true" outlineLevel="0" collapsed="false">
      <c r="B238" s="113" t="s">
        <v>3780</v>
      </c>
      <c r="C238" s="993" t="n">
        <f aca="false">C236*C36</f>
        <v>270.9</v>
      </c>
      <c r="D238" s="565" t="s">
        <v>3781</v>
      </c>
      <c r="E238" s="6"/>
    </row>
    <row r="239" customFormat="false" ht="15.75" hidden="false" customHeight="true" outlineLevel="0" collapsed="false">
      <c r="B239" s="113" t="s">
        <v>3782</v>
      </c>
      <c r="C239" s="993" t="n">
        <f aca="false">C236*(1-C36)</f>
        <v>180.6</v>
      </c>
      <c r="D239" s="565" t="s">
        <v>3783</v>
      </c>
      <c r="E239" s="6"/>
    </row>
    <row r="240" customFormat="false" ht="15.75" hidden="false" customHeight="true" outlineLevel="0" collapsed="false">
      <c r="B240" s="113" t="s">
        <v>3784</v>
      </c>
      <c r="C240" s="994" t="n">
        <f aca="false">C39*(1-C41)+C40*C41</f>
        <v>9.625</v>
      </c>
      <c r="D240" s="565" t="s">
        <v>3785</v>
      </c>
      <c r="E240" s="6"/>
    </row>
    <row r="241" customFormat="false" ht="15.75" hidden="false" customHeight="true" outlineLevel="0" collapsed="false">
      <c r="B241" s="113" t="s">
        <v>3786</v>
      </c>
      <c r="C241" s="589" t="n">
        <f aca="false">C238*C37*52</f>
        <v>352170</v>
      </c>
      <c r="D241" s="565" t="s">
        <v>3787</v>
      </c>
      <c r="E241" s="6"/>
    </row>
    <row r="242" customFormat="false" ht="15.75" hidden="false" customHeight="true" outlineLevel="0" collapsed="false">
      <c r="B242" s="113" t="s">
        <v>3788</v>
      </c>
      <c r="C242" s="589" t="n">
        <f aca="false">C239*C30*C240*52</f>
        <v>180780.6</v>
      </c>
      <c r="D242" s="565" t="s">
        <v>3789</v>
      </c>
      <c r="E242" s="6"/>
    </row>
    <row r="243" customFormat="false" ht="15.75" hidden="false" customHeight="true" outlineLevel="0" collapsed="false">
      <c r="B243" s="113" t="s">
        <v>3790</v>
      </c>
      <c r="C243" s="589" t="n">
        <f aca="false">C236*C44*52</f>
        <v>70434</v>
      </c>
      <c r="D243" s="565" t="s">
        <v>3791</v>
      </c>
      <c r="E243" s="6"/>
    </row>
    <row r="244" customFormat="false" ht="15.75" hidden="false" customHeight="true" outlineLevel="0" collapsed="false">
      <c r="B244" s="905" t="s">
        <v>3792</v>
      </c>
      <c r="C244" s="590" t="n">
        <f aca="false">C241+C242+C243</f>
        <v>603384.6</v>
      </c>
      <c r="D244" s="565" t="s">
        <v>3793</v>
      </c>
      <c r="E244" s="6"/>
    </row>
    <row r="245" customFormat="false" ht="6" hidden="false" customHeight="true" outlineLevel="0" collapsed="false">
      <c r="B245" s="6"/>
      <c r="E245" s="6"/>
    </row>
    <row r="246" customFormat="false" ht="15.75" hidden="false" customHeight="true" outlineLevel="0" collapsed="false">
      <c r="B246" s="113" t="s">
        <v>3794</v>
      </c>
      <c r="C246" s="589" t="n">
        <f aca="false">'Gaming · Revenue'!D54+'Gaming · Revenue'!D55+'Gaming · Revenue'!D56</f>
        <v>383613.75</v>
      </c>
      <c r="D246" s="565" t="s">
        <v>3795</v>
      </c>
      <c r="E246" s="6"/>
    </row>
    <row r="247" customFormat="false" ht="6" hidden="false" customHeight="true" outlineLevel="0" collapsed="false">
      <c r="B247" s="6"/>
      <c r="E247" s="6"/>
    </row>
    <row r="248" customFormat="false" ht="24" hidden="false" customHeight="true" outlineLevel="0" collapsed="false">
      <c r="B248" s="995" t="s">
        <v>3796</v>
      </c>
      <c r="C248" s="996" t="n">
        <f aca="false">C244+C246</f>
        <v>986998.35</v>
      </c>
      <c r="D248" s="997" t="s">
        <v>3797</v>
      </c>
      <c r="E248" s="6"/>
    </row>
    <row r="249" customFormat="false" ht="6" hidden="false" customHeight="true" outlineLevel="0" collapsed="false">
      <c r="B249" s="6"/>
      <c r="E249" s="6"/>
    </row>
    <row r="250" customFormat="false" ht="24" hidden="false" customHeight="true" outlineLevel="0" collapsed="false">
      <c r="B250" s="128" t="s">
        <v>3798</v>
      </c>
      <c r="C250" s="385" t="n">
        <f aca="false">'Gaming · Revenue'!D58</f>
        <v>1000998.35</v>
      </c>
      <c r="E250" s="6"/>
    </row>
    <row r="251" customFormat="false" ht="18" hidden="false" customHeight="true" outlineLevel="0" collapsed="false">
      <c r="B251" s="6"/>
      <c r="E251" s="6"/>
    </row>
    <row r="252" customFormat="false" ht="18" hidden="false" customHeight="true" outlineLevel="0" collapsed="false">
      <c r="B252" s="81" t="s">
        <v>2460</v>
      </c>
      <c r="C252" s="998" t="str">
        <f aca="false">IF(ABS(C248-C250)&lt;10,"✓ MATCH","✗ Diff: "&amp;TEXT(C248-C250,"$#,##0"))</f>
        <v>✗ Diff: -$14,000</v>
      </c>
      <c r="D252" s="565" t="s">
        <v>3799</v>
      </c>
      <c r="E252" s="6"/>
    </row>
    <row r="253" customFormat="false" ht="18" hidden="false" customHeight="true" outlineLevel="0" collapsed="false">
      <c r="B253" s="6"/>
      <c r="E253" s="6"/>
    </row>
    <row r="254" customFormat="false" ht="18" hidden="false" customHeight="true" outlineLevel="0" collapsed="false">
      <c r="B254" s="6"/>
      <c r="E254" s="6"/>
    </row>
    <row r="255" customFormat="false" ht="18" hidden="false" customHeight="true" outlineLevel="0" collapsed="false">
      <c r="B255" s="6"/>
      <c r="E255" s="6"/>
    </row>
    <row r="256" customFormat="false" ht="33.75" hidden="false" customHeight="true" outlineLevel="0" collapsed="false">
      <c r="B256" s="575" t="s">
        <v>3800</v>
      </c>
      <c r="C256" s="575"/>
      <c r="D256" s="575"/>
      <c r="E256" s="575"/>
      <c r="F256" s="575"/>
      <c r="G256" s="575"/>
      <c r="H256" s="575"/>
    </row>
    <row r="257" customFormat="false" ht="48.75" hidden="false" customHeight="true" outlineLevel="0" collapsed="false">
      <c r="B257" s="961" t="s">
        <v>3801</v>
      </c>
      <c r="C257" s="961"/>
      <c r="D257" s="961"/>
      <c r="E257" s="961"/>
      <c r="F257" s="961"/>
      <c r="G257" s="961"/>
      <c r="H257" s="961"/>
    </row>
    <row r="258" customFormat="false" ht="18" hidden="false" customHeight="true" outlineLevel="0" collapsed="false">
      <c r="B258" s="6"/>
      <c r="E258" s="6"/>
    </row>
    <row r="259" customFormat="false" ht="33.75" hidden="false" customHeight="true" outlineLevel="0" collapsed="false">
      <c r="B259" s="81" t="s">
        <v>3802</v>
      </c>
      <c r="E259" s="6"/>
    </row>
    <row r="260" customFormat="false" ht="18" hidden="false" customHeight="true" outlineLevel="0" collapsed="false">
      <c r="B260" s="113" t="s">
        <v>3803</v>
      </c>
      <c r="C260" s="945" t="n">
        <v>1800</v>
      </c>
      <c r="D260" s="958" t="s">
        <v>3804</v>
      </c>
      <c r="E260" s="6"/>
    </row>
    <row r="261" customFormat="false" ht="18" hidden="false" customHeight="true" outlineLevel="0" collapsed="false">
      <c r="B261" s="113" t="s">
        <v>3805</v>
      </c>
      <c r="C261" s="945" t="n">
        <v>200</v>
      </c>
      <c r="D261" s="958" t="s">
        <v>3806</v>
      </c>
      <c r="E261" s="6"/>
    </row>
    <row r="262" customFormat="false" ht="18" hidden="false" customHeight="true" outlineLevel="0" collapsed="false">
      <c r="B262" s="113" t="s">
        <v>3807</v>
      </c>
      <c r="C262" s="945" t="n">
        <v>400</v>
      </c>
      <c r="D262" s="958" t="s">
        <v>3808</v>
      </c>
      <c r="E262" s="6"/>
    </row>
    <row r="263" customFormat="false" ht="18" hidden="false" customHeight="true" outlineLevel="0" collapsed="false">
      <c r="B263" s="113" t="s">
        <v>3809</v>
      </c>
      <c r="C263" s="945" t="n">
        <v>600</v>
      </c>
      <c r="D263" s="958" t="s">
        <v>3810</v>
      </c>
      <c r="E263" s="6"/>
    </row>
    <row r="264" customFormat="false" ht="18" hidden="false" customHeight="true" outlineLevel="0" collapsed="false">
      <c r="B264" s="983" t="s">
        <v>3811</v>
      </c>
      <c r="C264" s="590" t="n">
        <f aca="false">(C260+C261+C262+C263)*12</f>
        <v>36000</v>
      </c>
      <c r="D264" s="958" t="s">
        <v>3812</v>
      </c>
      <c r="E264" s="6"/>
    </row>
    <row r="265" customFormat="false" ht="15" hidden="false" customHeight="true" outlineLevel="0" collapsed="false">
      <c r="B265" s="6"/>
      <c r="E265" s="6"/>
    </row>
    <row r="266" customFormat="false" ht="15" hidden="false" customHeight="true" outlineLevel="0" collapsed="false">
      <c r="B266" s="6"/>
      <c r="E266" s="6"/>
    </row>
    <row r="267" customFormat="false" ht="33.75" hidden="false" customHeight="true" outlineLevel="0" collapsed="false">
      <c r="B267" s="81" t="s">
        <v>3813</v>
      </c>
      <c r="E267" s="6"/>
    </row>
    <row r="268" customFormat="false" ht="18" hidden="false" customHeight="true" outlineLevel="0" collapsed="false">
      <c r="B268" s="113" t="s">
        <v>3814</v>
      </c>
      <c r="C268" s="945" t="n">
        <v>800</v>
      </c>
      <c r="D268" s="958" t="s">
        <v>3815</v>
      </c>
      <c r="E268" s="6"/>
    </row>
    <row r="269" customFormat="false" ht="18" hidden="false" customHeight="true" outlineLevel="0" collapsed="false">
      <c r="B269" s="113" t="s">
        <v>3816</v>
      </c>
      <c r="C269" s="945" t="n">
        <v>600</v>
      </c>
      <c r="D269" s="958" t="s">
        <v>3817</v>
      </c>
      <c r="E269" s="6"/>
    </row>
    <row r="270" customFormat="false" ht="18" hidden="false" customHeight="true" outlineLevel="0" collapsed="false">
      <c r="B270" s="113" t="s">
        <v>3818</v>
      </c>
      <c r="C270" s="945" t="n">
        <v>400</v>
      </c>
      <c r="D270" s="958" t="s">
        <v>3819</v>
      </c>
      <c r="E270" s="6"/>
    </row>
    <row r="271" customFormat="false" ht="18" hidden="false" customHeight="true" outlineLevel="0" collapsed="false">
      <c r="B271" s="113" t="s">
        <v>3820</v>
      </c>
      <c r="C271" s="945" t="n">
        <v>1000</v>
      </c>
      <c r="D271" s="958" t="s">
        <v>3821</v>
      </c>
      <c r="E271" s="6"/>
    </row>
    <row r="272" customFormat="false" ht="18" hidden="false" customHeight="true" outlineLevel="0" collapsed="false">
      <c r="B272" s="113" t="s">
        <v>3822</v>
      </c>
      <c r="C272" s="945" t="n">
        <v>200</v>
      </c>
      <c r="D272" s="958" t="s">
        <v>3823</v>
      </c>
      <c r="E272" s="6"/>
    </row>
    <row r="273" customFormat="false" ht="18" hidden="false" customHeight="true" outlineLevel="0" collapsed="false">
      <c r="B273" s="983" t="s">
        <v>3824</v>
      </c>
      <c r="C273" s="590" t="n">
        <f aca="false">(C268+C269+C270+C271+C272)*12</f>
        <v>36000</v>
      </c>
      <c r="D273" s="958" t="s">
        <v>3812</v>
      </c>
      <c r="E273" s="6"/>
    </row>
    <row r="274" customFormat="false" ht="15" hidden="false" customHeight="true" outlineLevel="0" collapsed="false">
      <c r="B274" s="6"/>
      <c r="E274" s="6"/>
    </row>
    <row r="275" customFormat="false" ht="15" hidden="false" customHeight="true" outlineLevel="0" collapsed="false">
      <c r="B275" s="6"/>
      <c r="E275" s="6"/>
    </row>
    <row r="276" customFormat="false" ht="18" hidden="false" customHeight="true" outlineLevel="0" collapsed="false">
      <c r="B276" s="6"/>
      <c r="E276" s="6"/>
    </row>
    <row r="277" customFormat="false" ht="18" hidden="false" customHeight="true" outlineLevel="0" collapsed="false">
      <c r="B277" s="6"/>
      <c r="E277" s="6"/>
    </row>
    <row r="278" customFormat="false" ht="18" hidden="false" customHeight="true" outlineLevel="0" collapsed="false">
      <c r="B278" s="6"/>
      <c r="E278" s="6"/>
    </row>
    <row r="279" customFormat="false" ht="18" hidden="false" customHeight="true" outlineLevel="0" collapsed="false">
      <c r="B279" s="6"/>
      <c r="E279" s="6"/>
    </row>
    <row r="280" customFormat="false" ht="18" hidden="false" customHeight="true" outlineLevel="0" collapsed="false">
      <c r="B280" s="6"/>
      <c r="E280" s="6"/>
    </row>
    <row r="281" customFormat="false" ht="18" hidden="false" customHeight="true" outlineLevel="0" collapsed="false">
      <c r="B281" s="6"/>
      <c r="E281" s="6"/>
    </row>
    <row r="282" customFormat="false" ht="18" hidden="false" customHeight="true" outlineLevel="0" collapsed="false">
      <c r="B282" s="6"/>
      <c r="E282" s="6"/>
    </row>
    <row r="283" customFormat="false" ht="18" hidden="false" customHeight="true" outlineLevel="0" collapsed="false">
      <c r="B283" s="6"/>
      <c r="E283" s="6"/>
    </row>
    <row r="284" customFormat="false" ht="18" hidden="false" customHeight="true" outlineLevel="0" collapsed="false">
      <c r="B284" s="6"/>
      <c r="E284" s="6"/>
    </row>
    <row r="285" customFormat="false" ht="15" hidden="false" customHeight="true" outlineLevel="0" collapsed="false">
      <c r="B285" s="6"/>
      <c r="E285" s="6"/>
    </row>
    <row r="286" customFormat="false" ht="33.75" hidden="false" customHeight="true" outlineLevel="0" collapsed="false">
      <c r="B286" s="81" t="s">
        <v>3825</v>
      </c>
      <c r="E286" s="6"/>
    </row>
    <row r="287" customFormat="false" ht="18" hidden="false" customHeight="true" outlineLevel="0" collapsed="false">
      <c r="B287" s="113" t="s">
        <v>3826</v>
      </c>
      <c r="C287" s="939" t="n">
        <v>25</v>
      </c>
      <c r="D287" s="958" t="s">
        <v>3827</v>
      </c>
      <c r="E287" s="6"/>
    </row>
    <row r="288" customFormat="false" ht="18" hidden="false" customHeight="true" outlineLevel="0" collapsed="false">
      <c r="B288" s="113" t="s">
        <v>3828</v>
      </c>
      <c r="C288" s="951" t="n">
        <v>7.4</v>
      </c>
      <c r="D288" s="958" t="s">
        <v>3829</v>
      </c>
      <c r="E288" s="6"/>
    </row>
    <row r="289" customFormat="false" ht="18" hidden="false" customHeight="true" outlineLevel="0" collapsed="false">
      <c r="B289" s="983" t="s">
        <v>3830</v>
      </c>
      <c r="C289" s="590" t="n">
        <f aca="false">C287*C288*52</f>
        <v>9620</v>
      </c>
      <c r="D289" s="958" t="s">
        <v>3831</v>
      </c>
      <c r="E289" s="6"/>
    </row>
    <row r="290" customFormat="false" ht="15" hidden="false" customHeight="true" outlineLevel="0" collapsed="false">
      <c r="B290" s="6"/>
      <c r="E290" s="6"/>
    </row>
    <row r="291" customFormat="false" ht="15" hidden="false" customHeight="true" outlineLevel="0" collapsed="false">
      <c r="B291" s="6"/>
      <c r="E291" s="6"/>
    </row>
    <row r="292" customFormat="false" ht="15" hidden="false" customHeight="true" outlineLevel="0" collapsed="false">
      <c r="B292" s="6"/>
      <c r="E292" s="6"/>
    </row>
    <row r="293" customFormat="false" ht="15" hidden="false" customHeight="true" outlineLevel="0" collapsed="false">
      <c r="B293" s="6"/>
      <c r="E293" s="6"/>
    </row>
    <row r="294" customFormat="false" ht="15" hidden="false" customHeight="true" outlineLevel="0" collapsed="false">
      <c r="B294" s="6"/>
      <c r="E294" s="6"/>
    </row>
    <row r="295" customFormat="false" ht="33.75" hidden="false" customHeight="true" outlineLevel="0" collapsed="false">
      <c r="B295" s="575" t="s">
        <v>3832</v>
      </c>
      <c r="C295" s="575"/>
      <c r="D295" s="575"/>
      <c r="E295" s="6"/>
    </row>
    <row r="296" customFormat="false" ht="15" hidden="false" customHeight="true" outlineLevel="0" collapsed="false">
      <c r="B296" s="999" t="s">
        <v>3833</v>
      </c>
      <c r="C296" s="1000" t="n">
        <v>350</v>
      </c>
      <c r="D296" s="565" t="s">
        <v>3834</v>
      </c>
      <c r="E296" s="6"/>
    </row>
    <row r="297" customFormat="false" ht="15" hidden="false" customHeight="true" outlineLevel="0" collapsed="false">
      <c r="B297" s="999" t="s">
        <v>3835</v>
      </c>
      <c r="C297" s="1000" t="n">
        <v>12</v>
      </c>
      <c r="D297" s="565" t="s">
        <v>3836</v>
      </c>
      <c r="E297" s="6"/>
    </row>
    <row r="298" customFormat="false" ht="15" hidden="false" customHeight="true" outlineLevel="0" collapsed="false">
      <c r="B298" s="999" t="s">
        <v>3837</v>
      </c>
      <c r="C298" s="1000" t="n">
        <v>4</v>
      </c>
      <c r="D298" s="565" t="s">
        <v>3838</v>
      </c>
      <c r="E298" s="6"/>
    </row>
    <row r="299" customFormat="false" ht="15" hidden="false" customHeight="true" outlineLevel="0" collapsed="false">
      <c r="B299" s="592" t="s">
        <v>3839</v>
      </c>
      <c r="C299" s="1001" t="n">
        <f aca="false">C297-C298</f>
        <v>8</v>
      </c>
      <c r="D299" s="565" t="s">
        <v>3840</v>
      </c>
      <c r="E299" s="6"/>
    </row>
    <row r="300" customFormat="false" ht="15" hidden="false" customHeight="true" outlineLevel="0" collapsed="false">
      <c r="B300" s="592" t="s">
        <v>3841</v>
      </c>
      <c r="C300" s="1002" t="n">
        <f aca="false">C297*C296</f>
        <v>4200</v>
      </c>
      <c r="D300" s="565" t="s">
        <v>3554</v>
      </c>
      <c r="E300" s="6"/>
    </row>
    <row r="301" customFormat="false" ht="15" hidden="false" customHeight="true" outlineLevel="0" collapsed="false">
      <c r="B301" s="6"/>
      <c r="E301" s="6"/>
    </row>
    <row r="302" customFormat="false" ht="33.75" hidden="false" customHeight="true" outlineLevel="0" collapsed="false">
      <c r="B302" s="1003" t="s">
        <v>3842</v>
      </c>
      <c r="E302" s="6"/>
    </row>
    <row r="303" customFormat="false" ht="15" hidden="false" customHeight="true" outlineLevel="0" collapsed="false">
      <c r="B303" s="113" t="s">
        <v>3843</v>
      </c>
      <c r="C303" s="1004" t="n">
        <f aca="false">C15*C23</f>
        <v>161.25</v>
      </c>
      <c r="D303" s="565" t="s">
        <v>3844</v>
      </c>
      <c r="E303" s="6"/>
    </row>
    <row r="304" customFormat="false" ht="15" hidden="false" customHeight="true" outlineLevel="0" collapsed="false">
      <c r="B304" s="113" t="s">
        <v>3845</v>
      </c>
      <c r="C304" s="1005" t="n">
        <v>1</v>
      </c>
      <c r="D304" s="565" t="s">
        <v>3846</v>
      </c>
      <c r="E304" s="6"/>
    </row>
    <row r="305" customFormat="false" ht="15" hidden="false" customHeight="true" outlineLevel="0" collapsed="false">
      <c r="B305" s="113" t="s">
        <v>3847</v>
      </c>
      <c r="C305" s="1005" t="n">
        <v>1.5</v>
      </c>
      <c r="D305" s="565" t="s">
        <v>3848</v>
      </c>
      <c r="E305" s="6"/>
    </row>
    <row r="306" customFormat="false" ht="15" hidden="false" customHeight="true" outlineLevel="0" collapsed="false">
      <c r="B306" s="113" t="s">
        <v>3849</v>
      </c>
      <c r="C306" s="1006" t="n">
        <v>5</v>
      </c>
      <c r="D306" s="565" t="s">
        <v>3850</v>
      </c>
      <c r="E306" s="6"/>
    </row>
    <row r="307" customFormat="false" ht="15" hidden="false" customHeight="true" outlineLevel="0" collapsed="false">
      <c r="B307" s="113" t="s">
        <v>3851</v>
      </c>
      <c r="C307" s="406" t="n">
        <f aca="false">C16*C23*C304*C306</f>
        <v>41925</v>
      </c>
      <c r="D307" s="565" t="s">
        <v>3852</v>
      </c>
      <c r="E307" s="6"/>
    </row>
  </sheetData>
  <mergeCells count="45">
    <mergeCell ref="B2:H2"/>
    <mergeCell ref="I2:L2"/>
    <mergeCell ref="B3:L3"/>
    <mergeCell ref="B5:E5"/>
    <mergeCell ref="F6:H6"/>
    <mergeCell ref="B14:D14"/>
    <mergeCell ref="B17:D17"/>
    <mergeCell ref="B24:D24"/>
    <mergeCell ref="B29:D29"/>
    <mergeCell ref="B35:D35"/>
    <mergeCell ref="B46:D46"/>
    <mergeCell ref="B51:D51"/>
    <mergeCell ref="B56:D56"/>
    <mergeCell ref="B65:D65"/>
    <mergeCell ref="B74:D74"/>
    <mergeCell ref="B78:D78"/>
    <mergeCell ref="B90:D90"/>
    <mergeCell ref="B94:D94"/>
    <mergeCell ref="B106:D106"/>
    <mergeCell ref="B107:D107"/>
    <mergeCell ref="B108:E108"/>
    <mergeCell ref="B113:D113"/>
    <mergeCell ref="B116:D116"/>
    <mergeCell ref="B125:D125"/>
    <mergeCell ref="B126:D126"/>
    <mergeCell ref="B146:D146"/>
    <mergeCell ref="B147:D147"/>
    <mergeCell ref="B155:D155"/>
    <mergeCell ref="B163:D165"/>
    <mergeCell ref="B166:D166"/>
    <mergeCell ref="B167:D167"/>
    <mergeCell ref="B177:D177"/>
    <mergeCell ref="B178:D178"/>
    <mergeCell ref="B185:I185"/>
    <mergeCell ref="B186:I186"/>
    <mergeCell ref="B194:I194"/>
    <mergeCell ref="B195:I195"/>
    <mergeCell ref="B203:E203"/>
    <mergeCell ref="B221:E221"/>
    <mergeCell ref="B226:E226"/>
    <mergeCell ref="B232:H232"/>
    <mergeCell ref="B233:H233"/>
    <mergeCell ref="B256:H256"/>
    <mergeCell ref="B257:H257"/>
    <mergeCell ref="B295:D29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19"/>
    <col collapsed="false" customWidth="true" hidden="false" outlineLevel="0" max="6" min="5" style="0" width="15"/>
    <col collapsed="false" customWidth="true" hidden="false" outlineLevel="0" max="8" min="7" style="0" width="28"/>
    <col collapsed="false" customWidth="true" hidden="false" outlineLevel="0" max="9" min="9" style="0" width="21"/>
    <col collapsed="false" customWidth="true" hidden="false" outlineLevel="0" max="11" min="10" style="0" width="9"/>
    <col collapsed="false" customWidth="true" hidden="false" outlineLevel="0" max="12" min="12" style="0" width="28"/>
  </cols>
  <sheetData>
    <row r="1" customFormat="false" ht="3.75" hidden="false" customHeight="true" outlineLevel="0" collapsed="false">
      <c r="B1" s="876"/>
      <c r="C1" s="877"/>
      <c r="D1" s="876"/>
      <c r="E1" s="877"/>
      <c r="F1" s="877"/>
      <c r="G1" s="877"/>
      <c r="H1" s="877"/>
      <c r="I1" s="877"/>
      <c r="J1" s="877"/>
      <c r="K1" s="877"/>
      <c r="L1" s="877"/>
    </row>
    <row r="2" customFormat="false" ht="27.75" hidden="false" customHeight="true" outlineLevel="0" collapsed="false">
      <c r="B2" s="917" t="s">
        <v>3853</v>
      </c>
      <c r="C2" s="917"/>
      <c r="D2" s="917"/>
      <c r="E2" s="917"/>
      <c r="F2" s="917"/>
      <c r="G2" s="917"/>
      <c r="H2" s="917"/>
      <c r="I2" s="89" t="s">
        <v>3432</v>
      </c>
      <c r="J2" s="89"/>
      <c r="K2" s="89"/>
      <c r="L2" s="89"/>
    </row>
    <row r="3" customFormat="false" ht="18" hidden="false" customHeight="true" outlineLevel="0" collapsed="false">
      <c r="B3" s="529" t="s">
        <v>3854</v>
      </c>
      <c r="C3" s="529"/>
      <c r="D3" s="529"/>
      <c r="E3" s="529"/>
      <c r="F3" s="529"/>
      <c r="G3" s="529"/>
      <c r="H3" s="529"/>
      <c r="I3" s="529"/>
      <c r="J3" s="529"/>
      <c r="K3" s="529"/>
      <c r="L3" s="529"/>
    </row>
    <row r="4" customFormat="false" ht="48.75" hidden="false" customHeight="true" outlineLevel="0" collapsed="false">
      <c r="B4" s="1007" t="s">
        <v>3855</v>
      </c>
      <c r="C4" s="1007"/>
      <c r="D4" s="1007"/>
      <c r="E4" s="1007"/>
      <c r="F4" s="1007"/>
      <c r="G4" s="1007"/>
      <c r="H4" s="0" t="s">
        <v>3856</v>
      </c>
      <c r="I4" s="1008"/>
    </row>
    <row r="5" customFormat="false" ht="31.5" hidden="false" customHeight="true" outlineLevel="0" collapsed="false">
      <c r="B5" s="880" t="s">
        <v>3857</v>
      </c>
      <c r="C5" s="881" t="s">
        <v>393</v>
      </c>
      <c r="D5" s="880" t="s">
        <v>1658</v>
      </c>
      <c r="E5" s="881" t="s">
        <v>3858</v>
      </c>
      <c r="F5" s="881" t="s">
        <v>102</v>
      </c>
      <c r="G5" s="881" t="s">
        <v>3859</v>
      </c>
      <c r="I5" s="1008" t="s">
        <v>3860</v>
      </c>
    </row>
    <row r="6" customFormat="false" ht="15" hidden="false" customHeight="true" outlineLevel="0" collapsed="false">
      <c r="B6" s="851" t="s">
        <v>3861</v>
      </c>
      <c r="C6" s="1009" t="n">
        <f aca="false">'Gaming · Drivers'!C15</f>
        <v>1075</v>
      </c>
      <c r="D6" s="1010" t="s">
        <v>3862</v>
      </c>
      <c r="E6" s="1011" t="s">
        <v>3863</v>
      </c>
      <c r="F6" s="1012" t="s">
        <v>3864</v>
      </c>
      <c r="G6" s="565" t="s">
        <v>3865</v>
      </c>
      <c r="I6" s="1008" t="s">
        <v>3866</v>
      </c>
      <c r="L6" s="1013" t="s">
        <v>3867</v>
      </c>
    </row>
    <row r="7" customFormat="false" ht="15" hidden="false" customHeight="true" outlineLevel="0" collapsed="false">
      <c r="B7" s="851" t="s">
        <v>3868</v>
      </c>
      <c r="C7" s="1014" t="n">
        <f aca="false">'Gaming · Drivers'!C18</f>
        <v>0.42</v>
      </c>
      <c r="D7" s="1010" t="s">
        <v>3869</v>
      </c>
      <c r="E7" s="1011" t="s">
        <v>3863</v>
      </c>
      <c r="F7" s="1012" t="s">
        <v>3213</v>
      </c>
      <c r="G7" s="565" t="s">
        <v>3870</v>
      </c>
      <c r="I7" s="1008"/>
    </row>
    <row r="8" customFormat="false" ht="15" hidden="false" customHeight="true" outlineLevel="0" collapsed="false">
      <c r="B8" s="851" t="s">
        <v>3871</v>
      </c>
      <c r="C8" s="1014" t="n">
        <f aca="false">'Gaming · Drivers'!C19</f>
        <v>0.23</v>
      </c>
      <c r="D8" s="1010" t="s">
        <v>3869</v>
      </c>
      <c r="E8" s="1011" t="s">
        <v>3863</v>
      </c>
      <c r="F8" s="1012" t="s">
        <v>3213</v>
      </c>
      <c r="G8" s="565" t="s">
        <v>3872</v>
      </c>
      <c r="I8" s="1008" t="s">
        <v>3873</v>
      </c>
    </row>
    <row r="9" customFormat="false" ht="15" hidden="false" customHeight="true" outlineLevel="0" collapsed="false">
      <c r="B9" s="851" t="s">
        <v>3874</v>
      </c>
      <c r="C9" s="1014" t="n">
        <f aca="false">'Gaming · Drivers'!C20</f>
        <v>0.2</v>
      </c>
      <c r="D9" s="1010" t="s">
        <v>3869</v>
      </c>
      <c r="E9" s="1011" t="s">
        <v>3863</v>
      </c>
      <c r="F9" s="1012" t="s">
        <v>3213</v>
      </c>
      <c r="G9" s="565" t="s">
        <v>3875</v>
      </c>
      <c r="I9" s="1008" t="s">
        <v>3876</v>
      </c>
    </row>
    <row r="10" customFormat="false" ht="15" hidden="false" customHeight="true" outlineLevel="0" collapsed="false">
      <c r="B10" s="851" t="s">
        <v>3877</v>
      </c>
      <c r="C10" s="1015" t="n">
        <f aca="false">'Gaming · Drivers'!C26</f>
        <v>8</v>
      </c>
      <c r="D10" s="1010" t="s">
        <v>3878</v>
      </c>
      <c r="E10" s="1011" t="s">
        <v>3863</v>
      </c>
      <c r="F10" s="1012" t="s">
        <v>3213</v>
      </c>
      <c r="G10" s="565" t="s">
        <v>3879</v>
      </c>
      <c r="I10" s="1008" t="s">
        <v>3880</v>
      </c>
    </row>
    <row r="11" customFormat="false" ht="15" hidden="false" customHeight="true" outlineLevel="0" collapsed="false">
      <c r="B11" s="851" t="s">
        <v>3881</v>
      </c>
      <c r="C11" s="1015" t="n">
        <f aca="false">'Gaming · Drivers'!C30</f>
        <v>2</v>
      </c>
      <c r="D11" s="1010" t="s">
        <v>3882</v>
      </c>
      <c r="E11" s="1011" t="s">
        <v>3863</v>
      </c>
      <c r="F11" s="1012" t="s">
        <v>1600</v>
      </c>
      <c r="G11" s="565" t="s">
        <v>3883</v>
      </c>
      <c r="I11" s="1008" t="s">
        <v>3884</v>
      </c>
    </row>
    <row r="12" customFormat="false" ht="15" hidden="false" customHeight="true" outlineLevel="0" collapsed="false">
      <c r="B12" s="851" t="s">
        <v>3885</v>
      </c>
      <c r="C12" s="1014" t="n">
        <f aca="false">'Gaming · Drivers'!C36</f>
        <v>0.6</v>
      </c>
      <c r="D12" s="1010" t="s">
        <v>3886</v>
      </c>
      <c r="E12" s="1011" t="s">
        <v>3863</v>
      </c>
      <c r="F12" s="1012" t="s">
        <v>3213</v>
      </c>
      <c r="G12" s="565" t="s">
        <v>3887</v>
      </c>
      <c r="I12" s="1008"/>
    </row>
    <row r="13" customFormat="false" ht="15" hidden="false" customHeight="true" outlineLevel="0" collapsed="false">
      <c r="B13" s="851" t="s">
        <v>3888</v>
      </c>
      <c r="C13" s="1016" t="n">
        <f aca="false">'Gaming · Drivers'!C37</f>
        <v>25</v>
      </c>
      <c r="D13" s="1010" t="s">
        <v>3889</v>
      </c>
      <c r="E13" s="1011" t="s">
        <v>3863</v>
      </c>
      <c r="F13" s="1012" t="s">
        <v>3213</v>
      </c>
      <c r="G13" s="565" t="s">
        <v>3890</v>
      </c>
      <c r="I13" s="1008" t="s">
        <v>3891</v>
      </c>
    </row>
    <row r="14" customFormat="false" ht="15" hidden="false" customHeight="true" outlineLevel="0" collapsed="false">
      <c r="B14" s="851" t="s">
        <v>3892</v>
      </c>
      <c r="C14" s="1016" t="n">
        <f aca="false">'Gaming · Drivers'!C39</f>
        <v>8</v>
      </c>
      <c r="D14" s="1010" t="s">
        <v>3889</v>
      </c>
      <c r="E14" s="1011" t="s">
        <v>3863</v>
      </c>
      <c r="F14" s="1012" t="s">
        <v>3213</v>
      </c>
      <c r="G14" s="565" t="s">
        <v>3893</v>
      </c>
      <c r="I14" s="1008" t="s">
        <v>3894</v>
      </c>
    </row>
    <row r="15" customFormat="false" ht="15" hidden="false" customHeight="true" outlineLevel="0" collapsed="false">
      <c r="B15" s="851" t="s">
        <v>3895</v>
      </c>
      <c r="C15" s="1016" t="n">
        <f aca="false">'Gaming · Drivers'!C40</f>
        <v>10.5</v>
      </c>
      <c r="D15" s="1010" t="s">
        <v>3889</v>
      </c>
      <c r="E15" s="1011" t="s">
        <v>3863</v>
      </c>
      <c r="F15" s="1012" t="s">
        <v>3213</v>
      </c>
      <c r="G15" s="565" t="s">
        <v>3896</v>
      </c>
    </row>
    <row r="16" customFormat="false" ht="15" hidden="false" customHeight="true" outlineLevel="0" collapsed="false">
      <c r="B16" s="851" t="s">
        <v>3897</v>
      </c>
      <c r="C16" s="1009" t="n">
        <f aca="false">'Gaming · Drivers'!C47</f>
        <v>30</v>
      </c>
      <c r="D16" s="1010" t="s">
        <v>3898</v>
      </c>
      <c r="E16" s="1011" t="s">
        <v>3863</v>
      </c>
      <c r="F16" s="1017" t="s">
        <v>3232</v>
      </c>
      <c r="G16" s="565" t="s">
        <v>3899</v>
      </c>
    </row>
    <row r="17" customFormat="false" ht="15" hidden="false" customHeight="true" outlineLevel="0" collapsed="false">
      <c r="B17" s="851" t="s">
        <v>3900</v>
      </c>
      <c r="C17" s="1015" t="n">
        <f aca="false">'Gaming · Drivers'!C52</f>
        <v>6</v>
      </c>
      <c r="D17" s="1010" t="s">
        <v>3882</v>
      </c>
      <c r="E17" s="1011" t="s">
        <v>3863</v>
      </c>
      <c r="F17" s="1012" t="s">
        <v>1600</v>
      </c>
      <c r="G17" s="565" t="s">
        <v>3901</v>
      </c>
    </row>
    <row r="18" customFormat="false" ht="15" hidden="false" customHeight="true" outlineLevel="0" collapsed="false">
      <c r="B18" s="851" t="s">
        <v>3902</v>
      </c>
      <c r="C18" s="1014" t="n">
        <f aca="false">'Gaming · Drivers'!C57</f>
        <v>0.5</v>
      </c>
      <c r="D18" s="1010" t="s">
        <v>3886</v>
      </c>
      <c r="E18" s="1011" t="s">
        <v>3863</v>
      </c>
      <c r="F18" s="1012" t="s">
        <v>3213</v>
      </c>
      <c r="G18" s="565" t="s">
        <v>3903</v>
      </c>
    </row>
    <row r="19" customFormat="false" ht="15" hidden="false" customHeight="true" outlineLevel="0" collapsed="false">
      <c r="B19" s="851" t="s">
        <v>3904</v>
      </c>
      <c r="C19" s="1016" t="n">
        <f aca="false">'Gaming · Drivers'!C58</f>
        <v>18</v>
      </c>
      <c r="D19" s="1010" t="s">
        <v>3905</v>
      </c>
      <c r="E19" s="1011" t="s">
        <v>3863</v>
      </c>
      <c r="F19" s="1012" t="s">
        <v>3213</v>
      </c>
      <c r="G19" s="565" t="s">
        <v>3906</v>
      </c>
    </row>
    <row r="20" customFormat="false" ht="15" hidden="false" customHeight="true" outlineLevel="0" collapsed="false">
      <c r="B20" s="851" t="s">
        <v>3907</v>
      </c>
      <c r="C20" s="1009" t="n">
        <f aca="false">'Gaming · Drivers'!C66</f>
        <v>25</v>
      </c>
      <c r="D20" s="1010" t="s">
        <v>3898</v>
      </c>
      <c r="E20" s="1011" t="s">
        <v>3863</v>
      </c>
      <c r="F20" s="1017" t="s">
        <v>3232</v>
      </c>
      <c r="G20" s="565" t="s">
        <v>3908</v>
      </c>
    </row>
    <row r="21" customFormat="false" ht="15" hidden="false" customHeight="true" outlineLevel="0" collapsed="false">
      <c r="B21" s="851" t="s">
        <v>3909</v>
      </c>
      <c r="C21" s="1015" t="n">
        <f aca="false">'Gaming · Drivers'!C67</f>
        <v>6</v>
      </c>
      <c r="D21" s="1010" t="s">
        <v>3882</v>
      </c>
      <c r="E21" s="1011" t="s">
        <v>3863</v>
      </c>
      <c r="F21" s="1012" t="s">
        <v>1600</v>
      </c>
      <c r="G21" s="565" t="s">
        <v>3910</v>
      </c>
    </row>
    <row r="22" customFormat="false" ht="15" hidden="false" customHeight="true" outlineLevel="0" collapsed="false">
      <c r="B22" s="851" t="s">
        <v>3911</v>
      </c>
      <c r="C22" s="1018" t="n">
        <f aca="false">'Gaming · Drivers'!C70</f>
        <v>1.5</v>
      </c>
      <c r="D22" s="1010" t="s">
        <v>3905</v>
      </c>
      <c r="E22" s="1011" t="s">
        <v>3863</v>
      </c>
      <c r="F22" s="1012" t="s">
        <v>3213</v>
      </c>
      <c r="G22" s="565" t="s">
        <v>3912</v>
      </c>
    </row>
    <row r="23" customFormat="false" ht="15" hidden="false" customHeight="true" outlineLevel="0" collapsed="false">
      <c r="B23" s="851" t="s">
        <v>3913</v>
      </c>
      <c r="C23" s="1014" t="n">
        <f aca="false">'Gaming · Drivers'!C71</f>
        <v>0.22</v>
      </c>
      <c r="D23" s="1010" t="s">
        <v>3914</v>
      </c>
      <c r="E23" s="1011" t="s">
        <v>3863</v>
      </c>
      <c r="F23" s="1012" t="s">
        <v>3213</v>
      </c>
      <c r="G23" s="565" t="s">
        <v>3915</v>
      </c>
    </row>
    <row r="24" customFormat="false" ht="15" hidden="false" customHeight="true" outlineLevel="0" collapsed="false">
      <c r="B24" s="851" t="s">
        <v>3916</v>
      </c>
      <c r="C24" s="1009" t="n">
        <f aca="false">'Gaming · Drivers'!C79</f>
        <v>18</v>
      </c>
      <c r="D24" s="1010" t="s">
        <v>3917</v>
      </c>
      <c r="E24" s="1011" t="s">
        <v>3863</v>
      </c>
      <c r="F24" s="1012" t="s">
        <v>3213</v>
      </c>
      <c r="G24" s="565" t="s">
        <v>3918</v>
      </c>
    </row>
    <row r="25" customFormat="false" ht="15" hidden="false" customHeight="true" outlineLevel="0" collapsed="false">
      <c r="B25" s="851" t="s">
        <v>3919</v>
      </c>
      <c r="C25" s="1016" t="n">
        <f aca="false">'Gaming · Drivers'!C80</f>
        <v>7200</v>
      </c>
      <c r="D25" s="1010" t="s">
        <v>3920</v>
      </c>
      <c r="E25" s="1011" t="s">
        <v>3863</v>
      </c>
      <c r="F25" s="1012" t="s">
        <v>3213</v>
      </c>
      <c r="G25" s="565" t="s">
        <v>3921</v>
      </c>
    </row>
    <row r="26" customFormat="false" ht="15" hidden="false" customHeight="true" outlineLevel="0" collapsed="false">
      <c r="B26" s="851" t="s">
        <v>3922</v>
      </c>
      <c r="C26" s="1014" t="n">
        <f aca="false">'Gaming · Drivers'!C81</f>
        <v>0.21</v>
      </c>
      <c r="D26" s="1010" t="s">
        <v>3923</v>
      </c>
      <c r="E26" s="1011" t="s">
        <v>3863</v>
      </c>
      <c r="F26" s="1017" t="s">
        <v>3232</v>
      </c>
      <c r="G26" s="565" t="s">
        <v>3924</v>
      </c>
    </row>
    <row r="27" customFormat="false" ht="15" hidden="false" customHeight="true" outlineLevel="0" collapsed="false">
      <c r="B27" s="851" t="s">
        <v>3925</v>
      </c>
      <c r="C27" s="1016" t="n">
        <f aca="false">'Gaming · Drivers'!C84</f>
        <v>45000</v>
      </c>
      <c r="D27" s="1010" t="s">
        <v>3926</v>
      </c>
      <c r="E27" s="1011" t="s">
        <v>3863</v>
      </c>
      <c r="F27" s="1012" t="s">
        <v>3213</v>
      </c>
      <c r="G27" s="565" t="s">
        <v>3927</v>
      </c>
    </row>
    <row r="28" customFormat="false" ht="15" hidden="false" customHeight="true" outlineLevel="0" collapsed="false">
      <c r="B28" s="851" t="s">
        <v>3928</v>
      </c>
      <c r="C28" s="1016" t="n">
        <f aca="false">'Gaming · Drivers'!C85</f>
        <v>117390</v>
      </c>
      <c r="D28" s="1010" t="s">
        <v>3929</v>
      </c>
      <c r="E28" s="1011" t="s">
        <v>3863</v>
      </c>
      <c r="F28" s="1017" t="s">
        <v>3232</v>
      </c>
      <c r="G28" s="565" t="s">
        <v>3930</v>
      </c>
    </row>
    <row r="29" customFormat="false" ht="15" hidden="false" customHeight="true" outlineLevel="0" collapsed="false">
      <c r="B29" s="851" t="s">
        <v>3931</v>
      </c>
      <c r="C29" s="1016" t="n">
        <f aca="false">'Gaming · Drivers'!C86</f>
        <v>0</v>
      </c>
      <c r="D29" s="1010" t="s">
        <v>3932</v>
      </c>
      <c r="E29" s="1011" t="s">
        <v>3863</v>
      </c>
      <c r="F29" s="1017" t="s">
        <v>3232</v>
      </c>
      <c r="G29" s="565" t="s">
        <v>3933</v>
      </c>
    </row>
    <row r="30" customFormat="false" ht="15" hidden="false" customHeight="true" outlineLevel="0" collapsed="false">
      <c r="B30" s="851" t="s">
        <v>3934</v>
      </c>
      <c r="C30" s="1014" t="n">
        <f aca="false">'Gaming · Drivers'!C95</f>
        <v>0.9</v>
      </c>
      <c r="D30" s="1010" t="s">
        <v>3935</v>
      </c>
      <c r="E30" s="1011" t="s">
        <v>3863</v>
      </c>
      <c r="F30" s="1012" t="s">
        <v>1600</v>
      </c>
      <c r="G30" s="565" t="s">
        <v>3936</v>
      </c>
    </row>
    <row r="31" customFormat="false" ht="15" hidden="false" customHeight="true" outlineLevel="0" collapsed="false">
      <c r="B31" s="851" t="s">
        <v>3937</v>
      </c>
      <c r="C31" s="1014" t="n">
        <f aca="false">'Gaming · Drivers'!C98</f>
        <v>1</v>
      </c>
      <c r="D31" s="1010" t="s">
        <v>3938</v>
      </c>
      <c r="E31" s="1011" t="s">
        <v>3863</v>
      </c>
      <c r="F31" s="1012" t="s">
        <v>3213</v>
      </c>
      <c r="G31" s="565" t="s">
        <v>3939</v>
      </c>
    </row>
    <row r="32" customFormat="false" ht="15" hidden="false" customHeight="true" outlineLevel="0" collapsed="false">
      <c r="B32" s="851" t="s">
        <v>3940</v>
      </c>
      <c r="C32" s="1019" t="n">
        <f aca="false">'Gaming · Drivers'!C103</f>
        <v>0.03</v>
      </c>
      <c r="D32" s="1010" t="s">
        <v>3941</v>
      </c>
      <c r="E32" s="1011" t="s">
        <v>3863</v>
      </c>
      <c r="F32" s="1012" t="s">
        <v>3213</v>
      </c>
      <c r="G32" s="565" t="s">
        <v>3942</v>
      </c>
    </row>
    <row r="33" customFormat="false" ht="15" hidden="false" customHeight="true" outlineLevel="0" collapsed="false">
      <c r="B33" s="851" t="s">
        <v>3943</v>
      </c>
      <c r="C33" s="1019" t="n">
        <f aca="false">2%</f>
        <v>0.02</v>
      </c>
      <c r="D33" s="1010" t="s">
        <v>3944</v>
      </c>
      <c r="E33" s="1011" t="s">
        <v>3863</v>
      </c>
      <c r="F33" s="1017" t="s">
        <v>3232</v>
      </c>
      <c r="G33" s="565" t="s">
        <v>3945</v>
      </c>
    </row>
    <row r="34" customFormat="false" ht="15" hidden="false" customHeight="true" outlineLevel="0" collapsed="false">
      <c r="B34" s="851" t="s">
        <v>3946</v>
      </c>
      <c r="C34" s="1020" t="n">
        <f aca="false">7</f>
        <v>7</v>
      </c>
      <c r="D34" s="1010" t="s">
        <v>3947</v>
      </c>
      <c r="E34" s="1011" t="s">
        <v>3863</v>
      </c>
      <c r="F34" s="1017" t="s">
        <v>3232</v>
      </c>
      <c r="G34" s="565" t="s">
        <v>3948</v>
      </c>
    </row>
    <row r="35" customFormat="false" ht="15" hidden="false" customHeight="true" outlineLevel="0" collapsed="false">
      <c r="B35" s="851" t="s">
        <v>3949</v>
      </c>
      <c r="C35" s="1020" t="n">
        <f aca="false">30</f>
        <v>30</v>
      </c>
      <c r="D35" s="1010" t="s">
        <v>3950</v>
      </c>
      <c r="E35" s="1011" t="s">
        <v>3863</v>
      </c>
      <c r="F35" s="1017" t="s">
        <v>3232</v>
      </c>
    </row>
    <row r="36" customFormat="false" ht="15" hidden="false" customHeight="true" outlineLevel="0" collapsed="false">
      <c r="B36" s="851" t="s">
        <v>3951</v>
      </c>
      <c r="C36" s="1019" t="n">
        <f aca="false">3%</f>
        <v>0.03</v>
      </c>
      <c r="D36" s="1010" t="s">
        <v>3952</v>
      </c>
      <c r="E36" s="1011" t="s">
        <v>3863</v>
      </c>
      <c r="F36" s="1017" t="s">
        <v>3232</v>
      </c>
      <c r="G36" s="565" t="s">
        <v>3953</v>
      </c>
    </row>
    <row r="37" customFormat="false" ht="15" hidden="false" customHeight="true" outlineLevel="0" collapsed="false">
      <c r="B37" s="851" t="s">
        <v>3954</v>
      </c>
      <c r="C37" s="1021" t="n">
        <f aca="false">3.2</f>
        <v>3.2</v>
      </c>
      <c r="D37" s="1010" t="s">
        <v>3955</v>
      </c>
      <c r="E37" s="1011" t="s">
        <v>3863</v>
      </c>
      <c r="F37" s="1012" t="s">
        <v>1600</v>
      </c>
      <c r="G37" s="565" t="s">
        <v>3956</v>
      </c>
    </row>
    <row r="38" customFormat="false" ht="15" hidden="false" customHeight="true" outlineLevel="0" collapsed="false">
      <c r="B38" s="851" t="s">
        <v>3957</v>
      </c>
      <c r="C38" s="1021" t="n">
        <f aca="false">4</f>
        <v>4</v>
      </c>
      <c r="D38" s="1010" t="s">
        <v>3958</v>
      </c>
      <c r="E38" s="1011" t="s">
        <v>3863</v>
      </c>
      <c r="F38" s="1012" t="s">
        <v>3213</v>
      </c>
      <c r="G38" s="565" t="s">
        <v>3959</v>
      </c>
    </row>
    <row r="39" customFormat="false" ht="15" hidden="false" customHeight="true" outlineLevel="0" collapsed="false">
      <c r="B39" s="851" t="s">
        <v>3960</v>
      </c>
      <c r="C39" s="1014" t="n">
        <f aca="false">45%</f>
        <v>0.45</v>
      </c>
      <c r="D39" s="1010" t="s">
        <v>3944</v>
      </c>
      <c r="E39" s="1011" t="s">
        <v>3863</v>
      </c>
      <c r="F39" s="1012" t="s">
        <v>3213</v>
      </c>
      <c r="G39" s="565" t="s">
        <v>3961</v>
      </c>
    </row>
    <row r="40" customFormat="false" ht="15" hidden="false" customHeight="true" outlineLevel="0" collapsed="false">
      <c r="B40" s="6"/>
      <c r="D40" s="6"/>
    </row>
    <row r="41" customFormat="false" ht="15" hidden="false" customHeight="true" outlineLevel="0" collapsed="false">
      <c r="B41" s="6"/>
      <c r="D41" s="6"/>
    </row>
    <row r="42" customFormat="false" ht="108.75" hidden="false" customHeight="true" outlineLevel="0" collapsed="false">
      <c r="B42" s="1022" t="s">
        <v>3962</v>
      </c>
      <c r="C42" s="1022"/>
      <c r="D42" s="1022"/>
      <c r="E42" s="1022"/>
      <c r="F42" s="1022"/>
      <c r="G42" s="1022"/>
    </row>
    <row r="43" customFormat="false" ht="15" hidden="false" customHeight="true" outlineLevel="0" collapsed="false">
      <c r="B43" s="1022"/>
      <c r="C43" s="1022"/>
      <c r="D43" s="1022"/>
      <c r="E43" s="1022"/>
      <c r="F43" s="1022"/>
      <c r="G43" s="1022"/>
    </row>
    <row r="44" customFormat="false" ht="15" hidden="false" customHeight="true" outlineLevel="0" collapsed="false">
      <c r="B44" s="1022"/>
      <c r="C44" s="1022"/>
      <c r="D44" s="1022"/>
      <c r="E44" s="1022"/>
      <c r="F44" s="1022"/>
      <c r="G44" s="1022"/>
    </row>
    <row r="45" customFormat="false" ht="15" hidden="false" customHeight="true" outlineLevel="0" collapsed="false">
      <c r="B45" s="1022"/>
      <c r="C45" s="1022"/>
      <c r="D45" s="1022"/>
      <c r="E45" s="1022"/>
      <c r="F45" s="1022"/>
      <c r="G45" s="1022"/>
    </row>
  </sheetData>
  <mergeCells count="5">
    <mergeCell ref="B2:H2"/>
    <mergeCell ref="I2:L2"/>
    <mergeCell ref="B3:L3"/>
    <mergeCell ref="B4:G4"/>
    <mergeCell ref="B42:G4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6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2"/>
    <col collapsed="false" customWidth="true" hidden="false" outlineLevel="0" max="8" min="7" style="0" width="9"/>
    <col collapsed="false" customWidth="true" hidden="false" outlineLevel="0" max="9" min="9" style="0" width="20"/>
    <col collapsed="false" customWidth="true" hidden="false" outlineLevel="0" max="12" min="10" style="0" width="9"/>
  </cols>
  <sheetData>
    <row r="1" customFormat="false" ht="3.75" hidden="false" customHeight="true" outlineLevel="0" collapsed="false">
      <c r="B1" s="876"/>
      <c r="C1" s="877"/>
      <c r="D1" s="877"/>
      <c r="E1" s="877"/>
      <c r="F1" s="877"/>
      <c r="G1" s="877"/>
      <c r="H1" s="877"/>
      <c r="I1" s="876"/>
      <c r="J1" s="877"/>
      <c r="K1" s="877"/>
      <c r="L1" s="877"/>
    </row>
    <row r="2" customFormat="false" ht="27.75" hidden="false" customHeight="true" outlineLevel="0" collapsed="false">
      <c r="B2" s="917" t="s">
        <v>3963</v>
      </c>
      <c r="C2" s="917"/>
      <c r="D2" s="917"/>
      <c r="E2" s="917"/>
      <c r="F2" s="917"/>
      <c r="G2" s="917"/>
      <c r="H2" s="917"/>
      <c r="I2" s="1023" t="s">
        <v>3432</v>
      </c>
      <c r="J2" s="1023"/>
      <c r="K2" s="1023"/>
      <c r="L2" s="1023"/>
    </row>
    <row r="3" customFormat="false" ht="33.75" hidden="false" customHeight="true" outlineLevel="0" collapsed="false">
      <c r="B3" s="90" t="s">
        <v>3964</v>
      </c>
      <c r="C3" s="90"/>
      <c r="D3" s="90"/>
      <c r="E3" s="90"/>
      <c r="F3" s="90"/>
      <c r="G3" s="90"/>
      <c r="H3" s="90"/>
      <c r="I3" s="90"/>
      <c r="J3" s="90"/>
      <c r="K3" s="90"/>
      <c r="L3" s="90"/>
    </row>
    <row r="4" customFormat="false" ht="15" hidden="false" customHeight="true" outlineLevel="0" collapsed="false">
      <c r="B4" s="6"/>
      <c r="I4" s="6"/>
    </row>
    <row r="5" customFormat="false" ht="21.75" hidden="false" customHeight="true" outlineLevel="0" collapsed="false">
      <c r="B5" s="575" t="s">
        <v>3965</v>
      </c>
      <c r="C5" s="575"/>
      <c r="D5" s="575"/>
      <c r="E5" s="575"/>
      <c r="F5" s="575"/>
      <c r="I5" s="6"/>
    </row>
    <row r="6" customFormat="false" ht="27.75" hidden="false" customHeight="true" outlineLevel="0" collapsed="false">
      <c r="B6" s="880" t="s">
        <v>3966</v>
      </c>
      <c r="C6" s="881" t="s">
        <v>1872</v>
      </c>
      <c r="D6" s="881" t="s">
        <v>3967</v>
      </c>
      <c r="E6" s="881" t="s">
        <v>2771</v>
      </c>
      <c r="F6" s="881" t="s">
        <v>225</v>
      </c>
      <c r="I6" s="6"/>
    </row>
    <row r="7" customFormat="false" ht="15" hidden="false" customHeight="true" outlineLevel="0" collapsed="false">
      <c r="B7" s="113" t="s">
        <v>3968</v>
      </c>
      <c r="C7" s="895" t="n">
        <f aca="false">'Gaming · Drivers'!C31</f>
        <v>451.5</v>
      </c>
      <c r="F7" s="1024" t="s">
        <v>3969</v>
      </c>
      <c r="I7" s="6"/>
    </row>
    <row r="8" customFormat="false" ht="15" hidden="false" customHeight="true" outlineLevel="0" collapsed="false">
      <c r="B8" s="126" t="s">
        <v>3970</v>
      </c>
      <c r="C8" s="895" t="n">
        <f aca="false">'Gaming · Drivers'!C32</f>
        <v>903</v>
      </c>
      <c r="F8" s="958" t="s">
        <v>3971</v>
      </c>
      <c r="I8" s="6"/>
    </row>
    <row r="9" customFormat="false" ht="15" hidden="false" customHeight="true" outlineLevel="0" collapsed="false">
      <c r="B9" s="6"/>
      <c r="I9" s="6"/>
    </row>
    <row r="10" customFormat="false" ht="15" hidden="false" customHeight="true" outlineLevel="0" collapsed="false">
      <c r="B10" s="903" t="s">
        <v>3972</v>
      </c>
      <c r="I10" s="6"/>
    </row>
    <row r="11" customFormat="false" ht="15" hidden="false" customHeight="true" outlineLevel="0" collapsed="false">
      <c r="B11" s="126" t="s">
        <v>3973</v>
      </c>
      <c r="C11" s="895" t="n">
        <f aca="false">'Gaming · Drivers'!C31*'Gaming · Drivers'!C36</f>
        <v>270.9</v>
      </c>
      <c r="I11" s="6"/>
    </row>
    <row r="12" customFormat="false" ht="15" hidden="false" customHeight="true" outlineLevel="0" collapsed="false">
      <c r="B12" s="113" t="s">
        <v>3974</v>
      </c>
      <c r="D12" s="1025" t="n">
        <f aca="false">'Gaming · Drivers'!C37</f>
        <v>25</v>
      </c>
      <c r="E12" s="1026" t="n">
        <f aca="false">'Gaming · Drivers'!C31*'Gaming · Drivers'!C36*'Gaming · Drivers'!C37*1*52</f>
        <v>352170</v>
      </c>
      <c r="F12" s="958" t="s">
        <v>3975</v>
      </c>
      <c r="I12" s="6"/>
    </row>
    <row r="13" customFormat="false" ht="15" hidden="false" customHeight="true" outlineLevel="0" collapsed="false">
      <c r="B13" s="6"/>
      <c r="I13" s="6"/>
    </row>
    <row r="14" customFormat="false" ht="15" hidden="false" customHeight="true" outlineLevel="0" collapsed="false">
      <c r="B14" s="903" t="s">
        <v>3976</v>
      </c>
      <c r="I14" s="6"/>
    </row>
    <row r="15" customFormat="false" ht="15" hidden="false" customHeight="true" outlineLevel="0" collapsed="false">
      <c r="B15" s="126" t="s">
        <v>3977</v>
      </c>
      <c r="C15" s="895" t="n">
        <f aca="false">'Gaming · Drivers'!C31*(1-'Gaming · Drivers'!C36)</f>
        <v>180.6</v>
      </c>
      <c r="I15" s="6"/>
    </row>
    <row r="16" customFormat="false" ht="15" hidden="false" customHeight="true" outlineLevel="0" collapsed="false">
      <c r="B16" s="126" t="s">
        <v>3978</v>
      </c>
      <c r="C16" s="895" t="n">
        <f aca="false">'Gaming · Drivers'!C31*(1-'Gaming · Drivers'!C36)*4</f>
        <v>722.4</v>
      </c>
      <c r="I16" s="6"/>
    </row>
    <row r="17" customFormat="false" ht="15" hidden="false" customHeight="true" outlineLevel="0" collapsed="false">
      <c r="B17" s="126" t="s">
        <v>3979</v>
      </c>
      <c r="D17" s="1025" t="n">
        <f aca="false">'Gaming · Drivers'!C42</f>
        <v>9.625</v>
      </c>
      <c r="E17" s="1026" t="n">
        <f aca="false">'Gaming · Drivers'!C31*(1-'Gaming · Drivers'!C36)*'Gaming · Drivers'!C30*'Gaming · Drivers'!C42*52</f>
        <v>180780.6</v>
      </c>
      <c r="F17" s="958" t="s">
        <v>3980</v>
      </c>
      <c r="I17" s="6"/>
    </row>
    <row r="18" customFormat="false" ht="15" hidden="false" customHeight="true" outlineLevel="0" collapsed="false">
      <c r="B18" s="6"/>
      <c r="I18" s="6"/>
    </row>
    <row r="19" customFormat="false" ht="15" hidden="false" customHeight="true" outlineLevel="0" collapsed="false">
      <c r="B19" s="903" t="s">
        <v>3981</v>
      </c>
      <c r="I19" s="6"/>
    </row>
    <row r="20" customFormat="false" ht="15" hidden="false" customHeight="true" outlineLevel="0" collapsed="false">
      <c r="B20" s="113" t="s">
        <v>3982</v>
      </c>
      <c r="D20" s="1027" t="n">
        <f aca="false">'Gaming · Drivers'!C44</f>
        <v>3</v>
      </c>
      <c r="E20" s="1026" t="n">
        <f aca="false">'Gaming · Drivers'!C31*'Gaming · Drivers'!C44*52</f>
        <v>70434</v>
      </c>
      <c r="F20" s="958" t="s">
        <v>3983</v>
      </c>
      <c r="I20" s="6"/>
    </row>
    <row r="21" customFormat="false" ht="15" hidden="false" customHeight="true" outlineLevel="0" collapsed="false">
      <c r="B21" s="6"/>
      <c r="I21" s="6"/>
    </row>
    <row r="22" customFormat="false" ht="27.75" hidden="false" customHeight="true" outlineLevel="0" collapsed="false">
      <c r="B22" s="1028" t="s">
        <v>3984</v>
      </c>
      <c r="E22" s="1029" t="n">
        <f aca="false">E12+E17+E20</f>
        <v>603384.6</v>
      </c>
      <c r="I22" s="6"/>
    </row>
    <row r="23" customFormat="false" ht="15" hidden="false" customHeight="true" outlineLevel="0" collapsed="false">
      <c r="B23" s="6"/>
      <c r="I23" s="6"/>
    </row>
    <row r="24" customFormat="false" ht="15" hidden="false" customHeight="true" outlineLevel="0" collapsed="false">
      <c r="B24" s="6"/>
      <c r="I24" s="6"/>
    </row>
    <row r="25" customFormat="false" ht="21.75" hidden="false" customHeight="true" outlineLevel="0" collapsed="false">
      <c r="B25" s="96" t="s">
        <v>3985</v>
      </c>
      <c r="C25" s="96"/>
      <c r="D25" s="96"/>
      <c r="E25" s="96"/>
      <c r="F25" s="96"/>
      <c r="I25" s="6"/>
    </row>
    <row r="26" customFormat="false" ht="27.75" hidden="false" customHeight="true" outlineLevel="0" collapsed="false">
      <c r="B26" s="880" t="s">
        <v>3966</v>
      </c>
      <c r="C26" s="881" t="s">
        <v>1872</v>
      </c>
      <c r="D26" s="881" t="s">
        <v>3967</v>
      </c>
      <c r="E26" s="881" t="s">
        <v>2771</v>
      </c>
      <c r="F26" s="881" t="s">
        <v>225</v>
      </c>
      <c r="I26" s="6"/>
    </row>
    <row r="27" customFormat="false" ht="15" hidden="false" customHeight="true" outlineLevel="0" collapsed="false">
      <c r="B27" s="113" t="s">
        <v>3986</v>
      </c>
      <c r="C27" s="895" t="n">
        <f aca="false">'Gaming · Drivers'!C53</f>
        <v>247.25</v>
      </c>
      <c r="F27" s="958" t="s">
        <v>3987</v>
      </c>
      <c r="I27" s="6"/>
    </row>
    <row r="28" customFormat="false" ht="15" hidden="false" customHeight="true" outlineLevel="0" collapsed="false">
      <c r="B28" s="126" t="s">
        <v>3988</v>
      </c>
      <c r="C28" s="895" t="n">
        <f aca="false">'Gaming · Drivers'!C54</f>
        <v>1483.5</v>
      </c>
      <c r="F28" s="958" t="s">
        <v>3989</v>
      </c>
      <c r="I28" s="6"/>
    </row>
    <row r="29" customFormat="false" ht="15" hidden="false" customHeight="true" outlineLevel="0" collapsed="false">
      <c r="B29" s="6"/>
      <c r="I29" s="6"/>
    </row>
    <row r="30" customFormat="false" ht="15" hidden="false" customHeight="true" outlineLevel="0" collapsed="false">
      <c r="B30" s="903" t="s">
        <v>3972</v>
      </c>
      <c r="I30" s="6"/>
    </row>
    <row r="31" customFormat="false" ht="15" hidden="false" customHeight="true" outlineLevel="0" collapsed="false">
      <c r="B31" s="113" t="s">
        <v>3990</v>
      </c>
      <c r="D31" s="1027" t="n">
        <f aca="false">'Gaming · Drivers'!C58</f>
        <v>18</v>
      </c>
      <c r="E31" s="1026" t="n">
        <f aca="false">'Gaming · Drivers'!C53*'Gaming · Drivers'!C57*'Gaming · Drivers'!C58*52</f>
        <v>115713</v>
      </c>
      <c r="F31" s="958" t="s">
        <v>3991</v>
      </c>
      <c r="I31" s="6"/>
    </row>
    <row r="32" customFormat="false" ht="15" hidden="false" customHeight="true" outlineLevel="0" collapsed="false">
      <c r="B32" s="6"/>
      <c r="I32" s="6"/>
    </row>
    <row r="33" customFormat="false" ht="15" hidden="false" customHeight="true" outlineLevel="0" collapsed="false">
      <c r="B33" s="903" t="s">
        <v>3976</v>
      </c>
      <c r="I33" s="6"/>
    </row>
    <row r="34" customFormat="false" ht="15" hidden="false" customHeight="true" outlineLevel="0" collapsed="false">
      <c r="B34" s="126" t="s">
        <v>3992</v>
      </c>
      <c r="D34" s="1025" t="n">
        <f aca="false">'Gaming · Drivers'!C63</f>
        <v>3.25</v>
      </c>
      <c r="E34" s="1026" t="n">
        <f aca="false">'Gaming · Drivers'!C53*(1-'Gaming · Drivers'!C57)*6*'Gaming · Drivers'!C63*52</f>
        <v>125355.75</v>
      </c>
      <c r="F34" s="958" t="s">
        <v>3993</v>
      </c>
      <c r="I34" s="6"/>
    </row>
    <row r="35" customFormat="false" ht="15" hidden="false" customHeight="true" outlineLevel="0" collapsed="false">
      <c r="B35" s="6"/>
      <c r="I35" s="6"/>
    </row>
    <row r="36" customFormat="false" ht="27.75" hidden="false" customHeight="true" outlineLevel="0" collapsed="false">
      <c r="B36" s="1028" t="s">
        <v>3994</v>
      </c>
      <c r="E36" s="1029" t="n">
        <f aca="false">E31+E34</f>
        <v>241068.75</v>
      </c>
      <c r="I36" s="6"/>
    </row>
    <row r="37" customFormat="false" ht="15" hidden="false" customHeight="true" outlineLevel="0" collapsed="false">
      <c r="B37" s="6"/>
      <c r="I37" s="6"/>
    </row>
    <row r="38" customFormat="false" ht="15" hidden="false" customHeight="true" outlineLevel="0" collapsed="false">
      <c r="B38" s="6"/>
      <c r="I38" s="6"/>
    </row>
    <row r="39" customFormat="false" ht="21.75" hidden="false" customHeight="true" outlineLevel="0" collapsed="false">
      <c r="B39" s="96" t="s">
        <v>3995</v>
      </c>
      <c r="C39" s="96"/>
      <c r="D39" s="96"/>
      <c r="E39" s="96"/>
      <c r="F39" s="96"/>
      <c r="I39" s="6"/>
    </row>
    <row r="40" customFormat="false" ht="27.75" hidden="false" customHeight="true" outlineLevel="0" collapsed="false">
      <c r="B40" s="880" t="s">
        <v>3966</v>
      </c>
      <c r="C40" s="881" t="s">
        <v>1872</v>
      </c>
      <c r="D40" s="881" t="s">
        <v>3996</v>
      </c>
      <c r="E40" s="881" t="s">
        <v>2771</v>
      </c>
      <c r="F40" s="881" t="s">
        <v>225</v>
      </c>
      <c r="I40" s="6"/>
    </row>
    <row r="41" customFormat="false" ht="15" hidden="false" customHeight="true" outlineLevel="0" collapsed="false">
      <c r="B41" s="113" t="s">
        <v>3997</v>
      </c>
      <c r="C41" s="895" t="n">
        <f aca="false">'Gaming · Drivers'!C68</f>
        <v>215</v>
      </c>
      <c r="F41" s="958" t="s">
        <v>3998</v>
      </c>
      <c r="I41" s="6"/>
    </row>
    <row r="42" customFormat="false" ht="15" hidden="false" customHeight="true" outlineLevel="0" collapsed="false">
      <c r="B42" s="126" t="s">
        <v>3999</v>
      </c>
      <c r="C42" s="895" t="n">
        <f aca="false">'Gaming · Drivers'!C69</f>
        <v>1290</v>
      </c>
      <c r="F42" s="958" t="s">
        <v>3910</v>
      </c>
      <c r="I42" s="6"/>
    </row>
    <row r="43" customFormat="false" ht="15" hidden="false" customHeight="true" outlineLevel="0" collapsed="false">
      <c r="B43" s="6"/>
      <c r="I43" s="6"/>
    </row>
    <row r="44" customFormat="false" ht="27.75" hidden="false" customHeight="true" outlineLevel="0" collapsed="false">
      <c r="B44" s="1030" t="s">
        <v>4000</v>
      </c>
      <c r="D44" s="1025" t="n">
        <f aca="false">'Gaming · Drivers'!C70</f>
        <v>1.5</v>
      </c>
      <c r="E44" s="1029" t="n">
        <f aca="false">'Gaming · Drivers'!C69*'Gaming · Drivers'!C70*52</f>
        <v>100620</v>
      </c>
      <c r="F44" s="958" t="s">
        <v>4001</v>
      </c>
      <c r="I44" s="6"/>
    </row>
    <row r="45" customFormat="false" ht="33.75" hidden="false" customHeight="true" outlineLevel="0" collapsed="false">
      <c r="B45" s="318" t="s">
        <v>3842</v>
      </c>
      <c r="I45" s="6"/>
    </row>
    <row r="46" customFormat="false" ht="15" hidden="false" customHeight="true" outlineLevel="0" collapsed="false">
      <c r="B46" s="113" t="s">
        <v>4002</v>
      </c>
      <c r="C46" s="480" t="n">
        <f aca="false">'Gaming · Drivers'!C303</f>
        <v>161.25</v>
      </c>
      <c r="D46" s="385" t="n">
        <f aca="false">'Gaming · Drivers'!C306</f>
        <v>5</v>
      </c>
      <c r="E46" s="606" t="n">
        <f aca="false">'Gaming · Drivers'!C307</f>
        <v>41925</v>
      </c>
      <c r="I46" s="6"/>
    </row>
    <row r="47" customFormat="false" ht="21.75" hidden="false" customHeight="true" outlineLevel="0" collapsed="false">
      <c r="B47" s="125" t="s">
        <v>4003</v>
      </c>
      <c r="C47" s="125"/>
      <c r="D47" s="125"/>
      <c r="E47" s="125"/>
      <c r="F47" s="125"/>
      <c r="I47" s="6"/>
    </row>
    <row r="48" customFormat="false" ht="27.75" hidden="false" customHeight="true" outlineLevel="0" collapsed="false">
      <c r="B48" s="1028" t="s">
        <v>4004</v>
      </c>
      <c r="C48" s="895" t="n">
        <f aca="false">'Gaming · Drivers'!C75</f>
        <v>40</v>
      </c>
      <c r="D48" s="1027" t="n">
        <f aca="false">'Gaming · Drivers'!C76</f>
        <v>350</v>
      </c>
      <c r="E48" s="1029" t="n">
        <f aca="false">'Gaming · Drivers'!C75*'Gaming · Drivers'!C76</f>
        <v>14000</v>
      </c>
      <c r="F48" s="958" t="s">
        <v>4005</v>
      </c>
      <c r="I48" s="6"/>
    </row>
    <row r="49" customFormat="false" ht="15" hidden="false" customHeight="true" outlineLevel="0" collapsed="false">
      <c r="B49" s="6"/>
      <c r="I49" s="6"/>
    </row>
    <row r="50" customFormat="false" ht="15" hidden="false" customHeight="true" outlineLevel="0" collapsed="false">
      <c r="B50" s="6"/>
      <c r="I50" s="6"/>
    </row>
    <row r="51" customFormat="false" ht="33.75" hidden="false" customHeight="true" outlineLevel="0" collapsed="false">
      <c r="B51" s="96" t="s">
        <v>4006</v>
      </c>
      <c r="C51" s="96"/>
      <c r="D51" s="96"/>
      <c r="E51" s="96"/>
      <c r="F51" s="96"/>
      <c r="I51" s="6"/>
    </row>
    <row r="52" customFormat="false" ht="23.25" hidden="false" customHeight="true" outlineLevel="0" collapsed="false">
      <c r="B52" s="81" t="s">
        <v>3445</v>
      </c>
      <c r="C52" s="1031"/>
      <c r="D52" s="881" t="s">
        <v>3446</v>
      </c>
      <c r="E52" s="881" t="s">
        <v>1052</v>
      </c>
      <c r="I52" s="6"/>
    </row>
    <row r="53" customFormat="false" ht="15" hidden="false" customHeight="true" outlineLevel="0" collapsed="false">
      <c r="B53" s="113" t="s">
        <v>4007</v>
      </c>
      <c r="D53" s="1027" t="n">
        <f aca="false">E22</f>
        <v>603384.6</v>
      </c>
      <c r="E53" s="1032" t="n">
        <f aca="false">D53/D58</f>
        <v>0.60278281177986</v>
      </c>
      <c r="I53" s="6"/>
    </row>
    <row r="54" customFormat="false" ht="15" hidden="false" customHeight="true" outlineLevel="0" collapsed="false">
      <c r="B54" s="113" t="s">
        <v>4008</v>
      </c>
      <c r="D54" s="1027" t="n">
        <f aca="false">E36</f>
        <v>241068.75</v>
      </c>
      <c r="E54" s="1032" t="n">
        <f aca="false">D54/D58</f>
        <v>0.240828319047679</v>
      </c>
      <c r="I54" s="6"/>
    </row>
    <row r="55" customFormat="false" ht="15" hidden="false" customHeight="true" outlineLevel="0" collapsed="false">
      <c r="B55" s="113" t="s">
        <v>4009</v>
      </c>
      <c r="D55" s="1027" t="n">
        <f aca="false">E44</f>
        <v>100620</v>
      </c>
      <c r="E55" s="1032" t="n">
        <f aca="false">D55/D58</f>
        <v>0.100519646211205</v>
      </c>
      <c r="I55" s="6"/>
    </row>
    <row r="56" customFormat="false" ht="15" hidden="false" customHeight="true" outlineLevel="0" collapsed="false">
      <c r="B56" s="113" t="s">
        <v>1080</v>
      </c>
      <c r="D56" s="1033" t="n">
        <f aca="false">E46</f>
        <v>41925</v>
      </c>
      <c r="E56" s="1032" t="n">
        <f aca="false">D56/D58</f>
        <v>0.0418831859213354</v>
      </c>
      <c r="I56" s="6"/>
    </row>
    <row r="57" customFormat="false" ht="15" hidden="false" customHeight="true" outlineLevel="0" collapsed="false">
      <c r="B57" s="113" t="s">
        <v>4010</v>
      </c>
      <c r="D57" s="385" t="n">
        <f aca="false">E48</f>
        <v>14000</v>
      </c>
      <c r="I57" s="6"/>
    </row>
    <row r="58" customFormat="false" ht="36" hidden="false" customHeight="true" outlineLevel="0" collapsed="false">
      <c r="B58" s="1034" t="s">
        <v>4011</v>
      </c>
      <c r="D58" s="1035" t="n">
        <f aca="false">D53+D54+D55+D56+D57</f>
        <v>1000998.35</v>
      </c>
      <c r="E58" s="1036" t="n">
        <f aca="false">100%</f>
        <v>1</v>
      </c>
      <c r="I58" s="6"/>
    </row>
    <row r="61" customFormat="false" ht="21.7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sheetData>
  <mergeCells count="8">
    <mergeCell ref="B2:H2"/>
    <mergeCell ref="I2:L2"/>
    <mergeCell ref="B3:L3"/>
    <mergeCell ref="B5:F5"/>
    <mergeCell ref="B25:F25"/>
    <mergeCell ref="B39:F39"/>
    <mergeCell ref="B47:F47"/>
    <mergeCell ref="B51:F5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2" min="8" style="0" width="9"/>
  </cols>
  <sheetData>
    <row r="1" customFormat="false" ht="3.75" hidden="false" customHeight="true" outlineLevel="0" collapsed="false">
      <c r="B1" s="876"/>
      <c r="C1" s="877"/>
      <c r="D1" s="877"/>
      <c r="E1" s="877"/>
      <c r="F1" s="877"/>
      <c r="G1" s="876"/>
      <c r="H1" s="877"/>
      <c r="I1" s="877"/>
      <c r="J1" s="877"/>
      <c r="K1" s="877"/>
      <c r="L1" s="877"/>
    </row>
    <row r="2" customFormat="false" ht="27.75" hidden="false" customHeight="true" outlineLevel="0" collapsed="false">
      <c r="B2" s="917" t="s">
        <v>4012</v>
      </c>
      <c r="C2" s="917"/>
      <c r="D2" s="917"/>
      <c r="E2" s="917"/>
      <c r="F2" s="917"/>
      <c r="G2" s="917"/>
      <c r="H2" s="917"/>
      <c r="I2" s="89" t="s">
        <v>3432</v>
      </c>
      <c r="J2" s="89"/>
      <c r="K2" s="89"/>
      <c r="L2" s="89"/>
    </row>
    <row r="3" customFormat="false" ht="33.75" hidden="false" customHeight="true" outlineLevel="0" collapsed="false">
      <c r="B3" s="90" t="s">
        <v>4013</v>
      </c>
      <c r="C3" s="90"/>
      <c r="D3" s="90"/>
      <c r="E3" s="90"/>
      <c r="F3" s="90"/>
      <c r="G3" s="90"/>
      <c r="H3" s="90"/>
      <c r="I3" s="90"/>
      <c r="J3" s="90"/>
      <c r="K3" s="90"/>
      <c r="L3" s="90"/>
    </row>
    <row r="4" customFormat="false" ht="15" hidden="false" customHeight="true" outlineLevel="0" collapsed="false">
      <c r="B4" s="6"/>
      <c r="G4" s="6"/>
    </row>
    <row r="5" customFormat="false" ht="27.75" hidden="false" customHeight="true" outlineLevel="0" collapsed="false">
      <c r="B5" s="880" t="s">
        <v>4014</v>
      </c>
      <c r="C5" s="881" t="s">
        <v>2771</v>
      </c>
      <c r="D5" s="881" t="s">
        <v>874</v>
      </c>
      <c r="E5" s="881" t="s">
        <v>778</v>
      </c>
      <c r="G5" s="6"/>
    </row>
    <row r="6" customFormat="false" ht="15" hidden="false" customHeight="true" outlineLevel="0" collapsed="false">
      <c r="B6" s="96" t="s">
        <v>4015</v>
      </c>
      <c r="C6" s="96"/>
      <c r="D6" s="96"/>
      <c r="E6" s="96"/>
      <c r="F6" s="98" t="s">
        <v>4016</v>
      </c>
      <c r="G6" s="99" t="s">
        <v>4017</v>
      </c>
    </row>
    <row r="7" customFormat="false" ht="15" hidden="false" customHeight="true" outlineLevel="0" collapsed="false">
      <c r="B7" s="126" t="s">
        <v>4018</v>
      </c>
      <c r="C7" s="1027" t="n">
        <f aca="false">'Gaming · Drivers'!C79*'Gaming · Drivers'!C80</f>
        <v>129600</v>
      </c>
      <c r="D7" s="1032" t="n">
        <f aca="false">C7/'Gaming · Revenue'!D58</f>
        <v>0.129470742883842</v>
      </c>
      <c r="E7" s="958" t="s">
        <v>4019</v>
      </c>
      <c r="F7" s="1037" t="s">
        <v>3663</v>
      </c>
      <c r="G7" s="1038" t="n">
        <v>0</v>
      </c>
    </row>
    <row r="8" customFormat="false" ht="15" hidden="false" customHeight="true" outlineLevel="0" collapsed="false">
      <c r="B8" s="973" t="s">
        <v>4020</v>
      </c>
      <c r="C8" s="1039" t="n">
        <f aca="false">'Gaming · Drivers'!C79*'Gaming · Drivers'!C80*'Gaming · Drivers'!C81</f>
        <v>27216</v>
      </c>
      <c r="D8" s="1040" t="n">
        <f aca="false">C8/'Gaming · Revenue'!D58</f>
        <v>0.0271888560056068</v>
      </c>
      <c r="E8" s="958" t="s">
        <v>4021</v>
      </c>
      <c r="F8" s="1037" t="s">
        <v>3663</v>
      </c>
      <c r="G8" s="1038" t="n">
        <v>0</v>
      </c>
    </row>
    <row r="9" customFormat="false" ht="15" hidden="false" customHeight="true" outlineLevel="0" collapsed="false">
      <c r="B9" s="126" t="s">
        <v>4022</v>
      </c>
      <c r="C9" s="1027" t="n">
        <f aca="false">'Gaming · Drivers'!C72</f>
        <v>9620</v>
      </c>
      <c r="D9" s="1032" t="n">
        <f aca="false">C9/'Gaming · Revenue'!D58</f>
        <v>0.00961040545171728</v>
      </c>
      <c r="E9" s="958" t="s">
        <v>4023</v>
      </c>
      <c r="F9" s="1037" t="s">
        <v>3663</v>
      </c>
      <c r="G9" s="1038" t="n">
        <v>0</v>
      </c>
    </row>
    <row r="10" customFormat="false" ht="15" hidden="false" customHeight="true" outlineLevel="0" collapsed="false">
      <c r="B10" s="6"/>
      <c r="G10" s="6"/>
    </row>
    <row r="11" customFormat="false" ht="15" hidden="false" customHeight="true" outlineLevel="0" collapsed="false">
      <c r="B11" s="575" t="s">
        <v>4024</v>
      </c>
      <c r="C11" s="575"/>
      <c r="D11" s="575"/>
      <c r="E11" s="575"/>
      <c r="G11" s="6"/>
    </row>
    <row r="12" customFormat="false" ht="15" hidden="false" customHeight="true" outlineLevel="0" collapsed="false">
      <c r="B12" s="113" t="s">
        <v>4025</v>
      </c>
      <c r="C12" s="1027" t="n">
        <f aca="false">'Gaming · Revenue'!D55*'Gaming · Drivers'!C71</f>
        <v>22136.4</v>
      </c>
      <c r="D12" s="1032" t="n">
        <f aca="false">C12/'Gaming · Revenue'!D58</f>
        <v>0.0221143221664651</v>
      </c>
      <c r="E12" s="958" t="s">
        <v>4026</v>
      </c>
      <c r="F12" s="998" t="s">
        <v>4027</v>
      </c>
      <c r="G12" s="1038" t="n">
        <v>1</v>
      </c>
    </row>
    <row r="13" customFormat="false" ht="15" hidden="false" customHeight="true" outlineLevel="0" collapsed="false">
      <c r="B13" s="126" t="s">
        <v>3632</v>
      </c>
      <c r="C13" s="1027" t="n">
        <f aca="false">'Gaming · Revenue'!D58*'Gaming · Drivers'!C83</f>
        <v>28528.452975</v>
      </c>
      <c r="D13" s="1032" t="n">
        <f aca="false">C13/'Gaming · Revenue'!D58</f>
        <v>0.0285</v>
      </c>
      <c r="E13" s="958" t="s">
        <v>4028</v>
      </c>
      <c r="F13" s="1041" t="s">
        <v>4029</v>
      </c>
      <c r="G13" s="1038" t="n">
        <v>0.7</v>
      </c>
    </row>
    <row r="14" customFormat="false" ht="15" hidden="false" customHeight="true" outlineLevel="0" collapsed="false">
      <c r="B14" s="126" t="s">
        <v>3636</v>
      </c>
      <c r="C14" s="1027" t="n">
        <f aca="false">'Gaming · Drivers'!C85</f>
        <v>117390</v>
      </c>
      <c r="D14" s="1032" t="n">
        <f aca="false">C14/'Gaming · Revenue'!D58</f>
        <v>0.117272920579739</v>
      </c>
      <c r="E14" s="958" t="s">
        <v>4030</v>
      </c>
      <c r="F14" s="998" t="s">
        <v>4027</v>
      </c>
      <c r="G14" s="1038" t="n">
        <v>1</v>
      </c>
    </row>
    <row r="15" customFormat="false" ht="15" hidden="false" customHeight="true" outlineLevel="0" collapsed="false">
      <c r="B15" s="6"/>
      <c r="G15" s="6"/>
    </row>
    <row r="16" customFormat="false" ht="15" hidden="false" customHeight="true" outlineLevel="0" collapsed="false">
      <c r="B16" s="96" t="s">
        <v>4031</v>
      </c>
      <c r="C16" s="96"/>
      <c r="D16" s="96"/>
      <c r="E16" s="96"/>
      <c r="G16" s="6"/>
    </row>
    <row r="17" customFormat="false" ht="15" hidden="false" customHeight="true" outlineLevel="0" collapsed="false">
      <c r="B17" s="126" t="s">
        <v>4032</v>
      </c>
      <c r="C17" s="1027" t="n">
        <f aca="false">'Gaming · Drivers'!C84</f>
        <v>45000</v>
      </c>
      <c r="D17" s="1032" t="n">
        <f aca="false">C17/'Gaming · Revenue'!D58</f>
        <v>0.0449551190568896</v>
      </c>
      <c r="E17" s="958" t="s">
        <v>4033</v>
      </c>
      <c r="F17" s="1041" t="s">
        <v>4029</v>
      </c>
      <c r="G17" s="1038" t="n">
        <v>0.3</v>
      </c>
    </row>
    <row r="18" customFormat="false" ht="15" hidden="false" customHeight="true" outlineLevel="0" collapsed="false">
      <c r="B18" s="6"/>
      <c r="G18" s="6"/>
    </row>
    <row r="19" customFormat="false" ht="15" hidden="false" customHeight="true" outlineLevel="0" collapsed="false">
      <c r="B19" s="575" t="s">
        <v>4034</v>
      </c>
      <c r="C19" s="575"/>
      <c r="D19" s="575"/>
      <c r="E19" s="575"/>
      <c r="G19" s="6"/>
    </row>
    <row r="20" customFormat="false" ht="15" hidden="false" customHeight="true" outlineLevel="0" collapsed="false">
      <c r="B20" s="113" t="s">
        <v>4035</v>
      </c>
      <c r="C20" s="1027" t="n">
        <v>0</v>
      </c>
      <c r="D20" s="1032" t="n">
        <f aca="false">C20/'Gaming · Revenue'!D58</f>
        <v>0</v>
      </c>
      <c r="E20" s="958" t="s">
        <v>4036</v>
      </c>
      <c r="F20" s="1037" t="s">
        <v>3663</v>
      </c>
      <c r="G20" s="1038" t="n">
        <v>0</v>
      </c>
    </row>
    <row r="21" customFormat="false" ht="15" hidden="false" customHeight="true" outlineLevel="0" collapsed="false">
      <c r="B21" s="113" t="s">
        <v>4037</v>
      </c>
      <c r="C21" s="1027" t="n">
        <f aca="false">'Gaming · Drivers'!C87</f>
        <v>8000</v>
      </c>
      <c r="D21" s="1032" t="n">
        <f aca="false">C21/'Gaming · Revenue'!D58</f>
        <v>0.00799202116566926</v>
      </c>
      <c r="F21" s="1037" t="s">
        <v>3663</v>
      </c>
      <c r="G21" s="1038" t="n">
        <v>0</v>
      </c>
    </row>
    <row r="22" customFormat="false" ht="15" hidden="false" customHeight="true" outlineLevel="0" collapsed="false">
      <c r="B22" s="113" t="s">
        <v>4038</v>
      </c>
      <c r="C22" s="1027" t="n">
        <f aca="false">'Gaming · Drivers'!C88</f>
        <v>36000</v>
      </c>
      <c r="D22" s="1032" t="n">
        <f aca="false">C22/'Gaming · Revenue'!D58</f>
        <v>0.0359640952455117</v>
      </c>
      <c r="E22" s="958" t="s">
        <v>4039</v>
      </c>
      <c r="F22" s="1037" t="s">
        <v>3663</v>
      </c>
      <c r="G22" s="1038" t="n">
        <v>0</v>
      </c>
    </row>
    <row r="23" customFormat="false" ht="33.75" hidden="false" customHeight="true" outlineLevel="0" collapsed="false">
      <c r="B23" s="6" t="s">
        <v>4040</v>
      </c>
      <c r="C23" s="0" t="n">
        <v>38000</v>
      </c>
      <c r="D23" s="0" t="n">
        <f aca="false">C23/'Gaming · Revenue'!D58</f>
        <v>0.037962100536929</v>
      </c>
      <c r="E23" s="0" t="s">
        <v>4041</v>
      </c>
      <c r="F23" s="0" t="s">
        <v>3663</v>
      </c>
      <c r="G23" s="6" t="n">
        <v>0</v>
      </c>
    </row>
    <row r="24" customFormat="false" ht="33.75" hidden="false" customHeight="true" outlineLevel="0" collapsed="false">
      <c r="B24" s="1042" t="s">
        <v>4042</v>
      </c>
      <c r="C24" s="1042"/>
      <c r="D24" s="1042"/>
      <c r="E24" s="1042"/>
      <c r="G24" s="6"/>
    </row>
    <row r="25" customFormat="false" ht="15" hidden="false" customHeight="true" outlineLevel="0" collapsed="false">
      <c r="B25" s="592" t="s">
        <v>3645</v>
      </c>
      <c r="C25" s="897" t="s">
        <v>4043</v>
      </c>
      <c r="D25" s="1043" t="s">
        <v>4044</v>
      </c>
      <c r="E25" s="1043"/>
      <c r="G25" s="6"/>
    </row>
    <row r="26" customFormat="false" ht="15" hidden="false" customHeight="true" outlineLevel="0" collapsed="false">
      <c r="B26" s="104" t="s">
        <v>3647</v>
      </c>
      <c r="C26" s="897" t="s">
        <v>4043</v>
      </c>
      <c r="D26" s="1043" t="s">
        <v>4045</v>
      </c>
      <c r="E26" s="1043"/>
      <c r="G26" s="6"/>
    </row>
    <row r="27" customFormat="false" ht="15" hidden="false" customHeight="true" outlineLevel="0" collapsed="false">
      <c r="B27" s="126" t="s">
        <v>4046</v>
      </c>
      <c r="C27" s="142" t="n">
        <f aca="false">'Gaming · Drivers'!C181</f>
        <v>6000</v>
      </c>
      <c r="F27" s="998" t="s">
        <v>4027</v>
      </c>
      <c r="G27" s="1038" t="n">
        <v>1</v>
      </c>
    </row>
    <row r="28" customFormat="false" ht="15" hidden="false" customHeight="true" outlineLevel="0" collapsed="false">
      <c r="B28" s="43" t="s">
        <v>4047</v>
      </c>
      <c r="C28" s="43"/>
      <c r="D28" s="43"/>
      <c r="E28" s="43"/>
      <c r="G28" s="6"/>
    </row>
    <row r="29" customFormat="false" ht="31.5" hidden="false" customHeight="true" outlineLevel="0" collapsed="false">
      <c r="B29" s="1044" t="s">
        <v>4048</v>
      </c>
      <c r="C29" s="1035" t="n">
        <f aca="false">C7+C8+C9+C12+C13+C14+C17+C20+C21+C22+C23+C27</f>
        <v>467490.852975</v>
      </c>
      <c r="D29" s="1045" t="n">
        <f aca="false">C29/'Gaming · Revenue'!D58</f>
        <v>0.467024598966622</v>
      </c>
      <c r="G29" s="6"/>
    </row>
    <row r="30" customFormat="false" ht="15" hidden="false" customHeight="true" outlineLevel="0" collapsed="false">
      <c r="B30" s="6"/>
      <c r="G30" s="6"/>
    </row>
    <row r="31" customFormat="false" ht="15" hidden="false" customHeight="true" outlineLevel="0" collapsed="false">
      <c r="B31" s="1046" t="s">
        <v>4049</v>
      </c>
      <c r="C31" s="1047" t="n">
        <f aca="false">C7*(1-G7)+C8*(1-G8)+C9*(1-G9)+C12*(1-G12)+C13*(1-G13)+C14*(1-G14)+C17*(1-G17)+C20*(1-G20)+C21*(1-G21)+C22*(1-G22)+C23*(1-G23)+C27*(1-G27)</f>
        <v>288494.5358925</v>
      </c>
      <c r="D31" s="635" t="n">
        <f aca="false">C31/C29</f>
        <v>0.617112685855969</v>
      </c>
      <c r="E31" s="565" t="s">
        <v>4050</v>
      </c>
      <c r="G31" s="6"/>
    </row>
    <row r="32" customFormat="false" ht="15" hidden="false" customHeight="true" outlineLevel="0" collapsed="false">
      <c r="B32" s="1048" t="s">
        <v>4051</v>
      </c>
      <c r="C32" s="1049" t="n">
        <f aca="false">C7*G7+C8*G8+C9*G9+C12*G12+C13*G13+C14*G14+C17*G17+C20*G20+C21*G21+C22*G22+C23*G23+C27*G27</f>
        <v>178996.3170825</v>
      </c>
      <c r="D32" s="635" t="n">
        <f aca="false">C32/C29</f>
        <v>0.382887314144031</v>
      </c>
      <c r="E32" s="565" t="s">
        <v>4052</v>
      </c>
      <c r="G32" s="6"/>
    </row>
    <row r="33" customFormat="false" ht="15" hidden="false" customHeight="true" outlineLevel="0" collapsed="false">
      <c r="B33" s="1050" t="s">
        <v>4053</v>
      </c>
      <c r="C33" s="1051" t="n">
        <f aca="false">C32/'Gaming · Revenue'!D58</f>
        <v>0.178817794337523</v>
      </c>
      <c r="E33" s="565" t="s">
        <v>4054</v>
      </c>
      <c r="G33" s="6"/>
    </row>
    <row r="34" customFormat="false" ht="15" hidden="false" customHeight="true" outlineLevel="0" collapsed="false">
      <c r="B34" s="108" t="s">
        <v>4055</v>
      </c>
      <c r="C34" s="1052" t="str">
        <f aca="false">IF(ABS(C31+C32-C29)&lt;1,"✓ Reconciles","✗ Off by "&amp;TEXT(C31+C32-C29,"$#,##0"))</f>
        <v>✓ Reconciles</v>
      </c>
      <c r="G34" s="6"/>
    </row>
    <row r="35" customFormat="false" ht="27.75" hidden="false" customHeight="true" outlineLevel="0" collapsed="false">
      <c r="B35" s="1028" t="s">
        <v>4056</v>
      </c>
      <c r="C35" s="101" t="n">
        <f aca="false">'Gaming · Revenue'!D58-C29</f>
        <v>533507.497025</v>
      </c>
      <c r="D35" s="912" t="n">
        <f aca="false">C35/'Gaming · Revenue'!D58</f>
        <v>0.532975401033378</v>
      </c>
      <c r="G35" s="6"/>
    </row>
  </sheetData>
  <mergeCells count="11">
    <mergeCell ref="B2:H2"/>
    <mergeCell ref="I2:L2"/>
    <mergeCell ref="B3:L3"/>
    <mergeCell ref="B6:E6"/>
    <mergeCell ref="B11:E11"/>
    <mergeCell ref="B16:E16"/>
    <mergeCell ref="B19:E19"/>
    <mergeCell ref="B24:E24"/>
    <mergeCell ref="D25:E25"/>
    <mergeCell ref="D26:E26"/>
    <mergeCell ref="B28:E28"/>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81"/>
  <sheetViews>
    <sheetView showFormulas="false" showGridLines="true" showRowColHeaders="true" showZeros="true" rightToLeft="false" tabSelected="false" showOutlineSymbols="true" defaultGridColor="true" view="normal" topLeftCell="A1" colorId="64" zoomScale="93" zoomScaleNormal="93" zoomScalePageLayoutView="100" workbookViewId="0">
      <pane xSplit="1" ySplit="13" topLeftCell="B14" activePane="bottomRight" state="frozen"/>
      <selection pane="topLeft" activeCell="A1" activeCellId="0" sqref="A1"/>
      <selection pane="topRight" activeCell="B1" activeCellId="0" sqref="B1"/>
      <selection pane="bottomLeft" activeCell="A14" activeCellId="0" sqref="A14"/>
      <selection pane="bottomRight" activeCell="F21" activeCellId="0" sqref="F21"/>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3"/>
    <col collapsed="false" customWidth="true" hidden="false" outlineLevel="0" max="5" min="5" style="0" width="12"/>
    <col collapsed="false" customWidth="true" hidden="false" outlineLevel="0" max="7" min="6" style="0" width="11"/>
  </cols>
  <sheetData>
    <row r="1" customFormat="false" ht="15" hidden="false" customHeight="true" outlineLevel="0" collapsed="false">
      <c r="B1" s="6"/>
      <c r="D1" s="6"/>
    </row>
    <row r="2" customFormat="false" ht="30" hidden="false" customHeight="true" outlineLevel="0" collapsed="false">
      <c r="B2" s="190" t="s">
        <v>598</v>
      </c>
      <c r="D2" s="6"/>
    </row>
    <row r="3" customFormat="false" ht="36" hidden="false" customHeight="true" outlineLevel="0" collapsed="false">
      <c r="B3" s="191" t="s">
        <v>599</v>
      </c>
      <c r="D3" s="6"/>
    </row>
    <row r="4" customFormat="false" ht="15" hidden="false" customHeight="true" outlineLevel="0" collapsed="false">
      <c r="B4" s="6"/>
      <c r="D4" s="6"/>
    </row>
    <row r="5" customFormat="false" ht="18" hidden="false" customHeight="true" outlineLevel="0" collapsed="false">
      <c r="B5" s="192" t="s">
        <v>600</v>
      </c>
      <c r="D5" s="6"/>
    </row>
    <row r="6" customFormat="false" ht="36" hidden="false" customHeight="true" outlineLevel="0" collapsed="false">
      <c r="B6" s="6" t="s">
        <v>601</v>
      </c>
      <c r="D6" s="6"/>
    </row>
    <row r="7" customFormat="false" ht="36" hidden="false" customHeight="true" outlineLevel="0" collapsed="false">
      <c r="B7" s="6" t="s">
        <v>602</v>
      </c>
      <c r="D7" s="6"/>
    </row>
    <row r="8" customFormat="false" ht="36" hidden="false" customHeight="true" outlineLevel="0" collapsed="false">
      <c r="B8" s="6" t="s">
        <v>603</v>
      </c>
      <c r="D8" s="6"/>
    </row>
    <row r="9" customFormat="false" ht="36" hidden="false" customHeight="true" outlineLevel="0" collapsed="false">
      <c r="B9" s="6" t="s">
        <v>604</v>
      </c>
      <c r="D9" s="6"/>
    </row>
    <row r="10" customFormat="false" ht="18" hidden="false" customHeight="true" outlineLevel="0" collapsed="false">
      <c r="B10" s="6" t="s">
        <v>605</v>
      </c>
      <c r="D10" s="6"/>
    </row>
    <row r="11" customFormat="false" ht="15" hidden="false" customHeight="true" outlineLevel="0" collapsed="false">
      <c r="B11" s="6"/>
      <c r="D11" s="6"/>
    </row>
    <row r="12" customFormat="false" ht="18" hidden="false" customHeight="true" outlineLevel="0" collapsed="false">
      <c r="B12" s="192" t="s">
        <v>606</v>
      </c>
      <c r="D12" s="6"/>
    </row>
    <row r="13" customFormat="false" ht="15" hidden="false" customHeight="true" outlineLevel="0" collapsed="false">
      <c r="B13" s="6"/>
      <c r="D13" s="6"/>
    </row>
    <row r="14" customFormat="false" ht="15" hidden="false" customHeight="true" outlineLevel="0" collapsed="false">
      <c r="B14" s="159" t="s">
        <v>136</v>
      </c>
      <c r="C14" s="193" t="s">
        <v>607</v>
      </c>
      <c r="D14" s="159" t="s">
        <v>608</v>
      </c>
      <c r="E14" s="193" t="s">
        <v>609</v>
      </c>
      <c r="F14" s="193" t="s">
        <v>610</v>
      </c>
      <c r="G14" s="193" t="s">
        <v>611</v>
      </c>
    </row>
    <row r="15" customFormat="false" ht="15" hidden="false" customHeight="true" outlineLevel="0" collapsed="false">
      <c r="B15" s="6" t="s">
        <v>612</v>
      </c>
      <c r="C15" s="170" t="n">
        <f aca="false">'Master Revenue'!C7</f>
        <v>850848.5975</v>
      </c>
      <c r="D15" s="194" t="n">
        <f aca="false">'Master Revenue'!D7</f>
        <v>1000998.35</v>
      </c>
      <c r="E15" s="170" t="n">
        <f aca="false">'Master Revenue'!E7</f>
        <v>1101098.185</v>
      </c>
      <c r="F15" s="195" t="n">
        <f aca="false">'Master Revenue'!D7</f>
        <v>1000998.35</v>
      </c>
      <c r="G15" s="196" t="n">
        <f aca="false">(F15-D15)/D15</f>
        <v>0</v>
      </c>
    </row>
    <row r="16" customFormat="false" ht="15" hidden="false" customHeight="true" outlineLevel="0" collapsed="false">
      <c r="B16" s="6" t="s">
        <v>613</v>
      </c>
      <c r="C16" s="170" t="n">
        <f aca="false">'Master Revenue'!C8</f>
        <v>989507.7375</v>
      </c>
      <c r="D16" s="194" t="n">
        <f aca="false">'Master Revenue'!D8</f>
        <v>1206210</v>
      </c>
      <c r="E16" s="170" t="n">
        <f aca="false">'Master Revenue'!E8</f>
        <v>1462390.05</v>
      </c>
      <c r="F16" s="195" t="n">
        <f aca="false">'Master Revenue'!D8</f>
        <v>1206210</v>
      </c>
      <c r="G16" s="196" t="n">
        <f aca="false">(F16-D16)/D16</f>
        <v>0</v>
      </c>
    </row>
    <row r="17" customFormat="false" ht="15" hidden="false" customHeight="true" outlineLevel="0" collapsed="false">
      <c r="B17" s="6" t="s">
        <v>614</v>
      </c>
      <c r="C17" s="170" t="n">
        <f aca="false">'Master Revenue'!C9</f>
        <v>1107195.85</v>
      </c>
      <c r="D17" s="194" t="n">
        <f aca="false">'Master Revenue'!D9</f>
        <v>1595070</v>
      </c>
      <c r="E17" s="170" t="n">
        <f aca="false">'Master Revenue'!E9</f>
        <v>2036298.84</v>
      </c>
      <c r="F17" s="195" t="n">
        <f aca="false">'Master Revenue'!D9</f>
        <v>1595070</v>
      </c>
      <c r="G17" s="196" t="n">
        <f aca="false">(F17-D17)/D17</f>
        <v>0</v>
      </c>
    </row>
    <row r="18" customFormat="false" ht="15" hidden="false" customHeight="true" outlineLevel="0" collapsed="false">
      <c r="B18" s="6" t="s">
        <v>615</v>
      </c>
      <c r="C18" s="170" t="n">
        <f aca="false">'Master Revenue'!C10</f>
        <v>354375.050832</v>
      </c>
      <c r="D18" s="194" t="n">
        <f aca="false">'Master Revenue'!D10</f>
        <v>693656.4</v>
      </c>
      <c r="E18" s="170" t="n">
        <f aca="false">'Master Revenue'!E10</f>
        <v>1394430.337872</v>
      </c>
      <c r="F18" s="195" t="n">
        <f aca="false">'Master Revenue'!D10</f>
        <v>693656.4</v>
      </c>
      <c r="G18" s="196" t="n">
        <f aca="false">(F18-D18)/D18</f>
        <v>0</v>
      </c>
    </row>
    <row r="19" customFormat="false" ht="15" hidden="false" customHeight="true" outlineLevel="0" collapsed="false">
      <c r="B19" s="6" t="s">
        <v>616</v>
      </c>
      <c r="C19" s="170" t="n">
        <f aca="false">'Master Revenue'!C11</f>
        <v>322767.6054992</v>
      </c>
      <c r="D19" s="194" t="n">
        <f aca="false">'Master Revenue'!D11</f>
        <v>488873.1</v>
      </c>
      <c r="E19" s="170" t="n">
        <f aca="false">'Master Revenue'!E11</f>
        <v>621625.293696</v>
      </c>
      <c r="F19" s="195" t="n">
        <f aca="false">'Master Revenue'!D11</f>
        <v>488873.1</v>
      </c>
      <c r="G19" s="196" t="n">
        <f aca="false">(F19-D19)/D19</f>
        <v>0</v>
      </c>
    </row>
    <row r="20" customFormat="false" ht="15" hidden="false" customHeight="true" outlineLevel="0" collapsed="false">
      <c r="B20" s="6" t="s">
        <v>617</v>
      </c>
      <c r="C20" s="170" t="n">
        <f aca="false">'Master Revenue'!C12</f>
        <v>226907.5</v>
      </c>
      <c r="D20" s="194" t="n">
        <f aca="false">'Master Revenue'!D12</f>
        <v>321000</v>
      </c>
      <c r="E20" s="170" t="n">
        <f aca="false">'Master Revenue'!E12</f>
        <v>395164</v>
      </c>
      <c r="F20" s="195" t="n">
        <f aca="false">'Master Revenue'!D12</f>
        <v>321000</v>
      </c>
      <c r="G20" s="196" t="n">
        <f aca="false">(F20-D20)/D20</f>
        <v>0</v>
      </c>
    </row>
    <row r="21" customFormat="false" ht="15" hidden="false" customHeight="true" outlineLevel="0" collapsed="false">
      <c r="B21" s="6" t="s">
        <v>618</v>
      </c>
      <c r="C21" s="170" t="n">
        <f aca="false">'Master Revenue'!C13</f>
        <v>568252.279752</v>
      </c>
      <c r="D21" s="194" t="n">
        <f aca="false">'Master Revenue'!D13</f>
        <v>789714.3</v>
      </c>
      <c r="E21" s="170" t="n">
        <f aca="false">'Master Revenue'!E13</f>
        <v>1772914.8228</v>
      </c>
      <c r="F21" s="197" t="n">
        <f aca="false">'Master Revenue'!D13</f>
        <v>789714.3</v>
      </c>
      <c r="G21" s="196" t="n">
        <f aca="false">(F21-D21)/D21</f>
        <v>0</v>
      </c>
    </row>
    <row r="22" customFormat="false" ht="15" hidden="false" customHeight="true" outlineLevel="0" collapsed="false">
      <c r="B22" s="6" t="s">
        <v>619</v>
      </c>
      <c r="C22" s="170" t="n">
        <f aca="false">'Master Revenue'!C14</f>
        <v>166049.18</v>
      </c>
      <c r="D22" s="194" t="n">
        <f aca="false">'Master Revenue'!D14</f>
        <v>287000</v>
      </c>
      <c r="E22" s="170" t="n">
        <f aca="false">'Master Revenue'!E14</f>
        <v>363968</v>
      </c>
      <c r="F22" s="195" t="n">
        <f aca="false">'Master Revenue'!D14</f>
        <v>287000</v>
      </c>
      <c r="G22" s="196" t="n">
        <f aca="false">(F22-D22)/D22</f>
        <v>0</v>
      </c>
    </row>
    <row r="23" customFormat="false" ht="15" hidden="false" customHeight="true" outlineLevel="0" collapsed="false">
      <c r="B23" s="6" t="s">
        <v>620</v>
      </c>
      <c r="C23" s="170" t="n">
        <f aca="false">'Master Revenue'!C15</f>
        <v>191737.32</v>
      </c>
      <c r="D23" s="194" t="n">
        <f aca="false">'Master Revenue'!D15</f>
        <v>289500</v>
      </c>
      <c r="E23" s="170" t="n">
        <f aca="false">'Master Revenue'!E15</f>
        <v>355086.6</v>
      </c>
      <c r="F23" s="195" t="n">
        <f aca="false">'Master Revenue'!D15</f>
        <v>289500</v>
      </c>
      <c r="G23" s="196" t="n">
        <f aca="false">(F23-D23)/D23</f>
        <v>0</v>
      </c>
    </row>
    <row r="24" customFormat="false" ht="15" hidden="false" customHeight="true" outlineLevel="0" collapsed="false">
      <c r="B24" s="6"/>
      <c r="D24" s="6"/>
    </row>
    <row r="25" customFormat="false" ht="18" hidden="false" customHeight="true" outlineLevel="0" collapsed="false">
      <c r="B25" s="159" t="s">
        <v>621</v>
      </c>
      <c r="C25" s="198" t="n">
        <f aca="false">SUM(C15:C23)</f>
        <v>4777641.1210832</v>
      </c>
      <c r="D25" s="199" t="n">
        <f aca="false">SUM(D15:D23)</f>
        <v>6672022.15</v>
      </c>
      <c r="E25" s="198" t="n">
        <f aca="false">SUM(E15:E23)</f>
        <v>9502976.129368</v>
      </c>
      <c r="F25" s="198" t="n">
        <f aca="false">SUM(F15:F23)</f>
        <v>6672022.15</v>
      </c>
      <c r="G25" s="200" t="n">
        <f aca="false">(F25-D25)/D25</f>
        <v>0</v>
      </c>
    </row>
    <row r="26" customFormat="false" ht="15" hidden="false" customHeight="true" outlineLevel="0" collapsed="false">
      <c r="B26" s="6"/>
      <c r="D26" s="6"/>
    </row>
    <row r="27" customFormat="false" ht="36" hidden="false" customHeight="true" outlineLevel="0" collapsed="false">
      <c r="B27" s="191" t="s">
        <v>622</v>
      </c>
      <c r="D27" s="6"/>
    </row>
    <row r="28" customFormat="false" ht="15" hidden="false" customHeight="true" outlineLevel="0" collapsed="false">
      <c r="B28" s="6"/>
      <c r="D28" s="6"/>
    </row>
    <row r="29" customFormat="false" ht="15.75" hidden="false" customHeight="true" outlineLevel="0" collapsed="false">
      <c r="B29" s="192" t="s">
        <v>623</v>
      </c>
      <c r="D29" s="6"/>
    </row>
    <row r="30" customFormat="false" ht="15" hidden="false" customHeight="true" outlineLevel="0" collapsed="false">
      <c r="B30" s="6"/>
      <c r="D30" s="6"/>
    </row>
    <row r="31" customFormat="false" ht="36" hidden="false" customHeight="true" outlineLevel="0" collapsed="false">
      <c r="B31" s="159" t="s">
        <v>624</v>
      </c>
      <c r="C31" s="201" t="str">
        <f aca="false">'Master Cost'!C4</f>
        <v>SCALES</v>
      </c>
      <c r="D31" s="6" t="s">
        <v>625</v>
      </c>
    </row>
    <row r="32" customFormat="false" ht="36" hidden="false" customHeight="true" outlineLevel="0" collapsed="false">
      <c r="B32" s="6" t="s">
        <v>626</v>
      </c>
      <c r="D32" s="6"/>
    </row>
    <row r="33" customFormat="false" ht="51" hidden="false" customHeight="true" outlineLevel="0" collapsed="false">
      <c r="B33" s="6" t="s">
        <v>627</v>
      </c>
      <c r="D33" s="6"/>
    </row>
    <row r="34" customFormat="false" ht="15" hidden="false" customHeight="true" outlineLevel="0" collapsed="false">
      <c r="B34" s="6"/>
      <c r="D34" s="6"/>
    </row>
    <row r="35" customFormat="false" ht="15" hidden="false" customHeight="true" outlineLevel="0" collapsed="false">
      <c r="B35" s="6"/>
      <c r="D35" s="6"/>
    </row>
    <row r="36" customFormat="false" ht="36" hidden="false" customHeight="true" outlineLevel="0" collapsed="false">
      <c r="B36" s="192" t="s">
        <v>628</v>
      </c>
      <c r="D36" s="6"/>
    </row>
    <row r="37" customFormat="false" ht="15" hidden="false" customHeight="true" outlineLevel="0" collapsed="false">
      <c r="B37" s="6"/>
      <c r="D37" s="6"/>
    </row>
    <row r="38" customFormat="false" ht="51" hidden="false" customHeight="true" outlineLevel="0" collapsed="false">
      <c r="B38" s="180" t="s">
        <v>629</v>
      </c>
      <c r="C38" s="202" t="n">
        <f aca="false">MASTER_ASSUMPTIONS!C27</f>
        <v>16</v>
      </c>
      <c r="D38" s="6" t="str">
        <f aca="false">"⊙ Default = Y3 EBITDA × Multiple from MASTER_ASSUMPTIONS C27 (currently "&amp;TEXT(MASTER_ASSUMPTIONS!C27,"0.0")&amp;"×). Edit C38 with a NUMBER to test other multiples."</f>
        <v>⊙ Default = Y3 EBITDA × Multiple from MASTER_ASSUMPTIONS C27 (currently 16.0×). Edit C38 with a NUMBER to test other multiples.</v>
      </c>
    </row>
    <row r="39" customFormat="false" ht="15" hidden="false" customHeight="true" outlineLevel="0" collapsed="false">
      <c r="B39" s="6"/>
      <c r="D39" s="6"/>
    </row>
    <row r="40" customFormat="false" ht="15" hidden="false" customHeight="true" outlineLevel="0" collapsed="false">
      <c r="B40" s="159" t="s">
        <v>630</v>
      </c>
      <c r="D40" s="6"/>
    </row>
    <row r="41" customFormat="false" ht="18" hidden="false" customHeight="true" outlineLevel="0" collapsed="false">
      <c r="B41" s="6" t="s">
        <v>631</v>
      </c>
      <c r="C41" s="203" t="n">
        <v>10</v>
      </c>
      <c r="D41" s="6"/>
    </row>
    <row r="42" customFormat="false" ht="18" hidden="false" customHeight="true" outlineLevel="0" collapsed="false">
      <c r="B42" s="6" t="s">
        <v>632</v>
      </c>
      <c r="C42" s="203" t="n">
        <v>18.45</v>
      </c>
      <c r="D42" s="6"/>
    </row>
    <row r="43" customFormat="false" ht="18" hidden="false" customHeight="true" outlineLevel="0" collapsed="false">
      <c r="B43" s="6" t="s">
        <v>633</v>
      </c>
      <c r="C43" s="203" t="n">
        <v>22</v>
      </c>
      <c r="D43" s="6"/>
    </row>
    <row r="44" customFormat="false" ht="33.75" hidden="false" customHeight="true" outlineLevel="0" collapsed="false">
      <c r="B44" s="6" t="s">
        <v>634</v>
      </c>
      <c r="C44" s="204" t="n">
        <f aca="false">MASTER_ASSUMPTIONS!C26/'Consolidated 8Yr P&amp;L'!E35</f>
        <v>16</v>
      </c>
      <c r="D44" s="6"/>
    </row>
    <row r="45" customFormat="false" ht="15" hidden="false" customHeight="true" outlineLevel="0" collapsed="false">
      <c r="B45" s="6"/>
      <c r="D45" s="6"/>
    </row>
    <row r="46" customFormat="false" ht="15" hidden="false" customHeight="true" outlineLevel="0" collapsed="false">
      <c r="B46" s="6"/>
      <c r="D46" s="6"/>
    </row>
    <row r="47" customFormat="false" ht="36" hidden="false" customHeight="true" outlineLevel="0" collapsed="false">
      <c r="B47" s="192" t="s">
        <v>635</v>
      </c>
      <c r="D47" s="6"/>
    </row>
    <row r="48" customFormat="false" ht="15" hidden="false" customHeight="true" outlineLevel="0" collapsed="false">
      <c r="B48" s="6"/>
      <c r="D48" s="6"/>
    </row>
    <row r="49" customFormat="false" ht="15" hidden="false" customHeight="true" outlineLevel="0" collapsed="false">
      <c r="B49" s="159" t="s">
        <v>206</v>
      </c>
      <c r="C49" s="193" t="s">
        <v>636</v>
      </c>
      <c r="D49" s="159" t="s">
        <v>637</v>
      </c>
      <c r="E49" s="193" t="s">
        <v>638</v>
      </c>
    </row>
    <row r="50" customFormat="false" ht="15" hidden="false" customHeight="true" outlineLevel="0" collapsed="false">
      <c r="B50" s="6" t="s">
        <v>639</v>
      </c>
      <c r="C50" s="205" t="n">
        <f aca="false">SUM('Master Revenue'!D7:D15)</f>
        <v>6672022.15</v>
      </c>
      <c r="D50" s="206" t="n">
        <f aca="false">SUM('Master Revenue'!M7:M15)</f>
        <v>6672022.15</v>
      </c>
      <c r="E50" s="207" t="n">
        <f aca="false">D50-C50</f>
        <v>0</v>
      </c>
    </row>
    <row r="51" customFormat="false" ht="51" hidden="false" customHeight="true" outlineLevel="0" collapsed="false">
      <c r="B51" s="6" t="s">
        <v>640</v>
      </c>
      <c r="C51" s="205" t="n">
        <f aca="false">SUMPRODUCT('Master Revenue'!D7:D15,'Master Cost'!D7:D15)</f>
        <v>2649299.228975</v>
      </c>
      <c r="D51" s="206" t="n">
        <f aca="false">IF('Master Cost'!C4="FIXED",SUMPRODUCT('Master Revenue'!D7:D15,'Master Cost'!D7:D15),SUMPRODUCT('Master Revenue'!M7:M15,'Master Cost'!D7:D15))</f>
        <v>2649299.228975</v>
      </c>
      <c r="E51" s="207" t="n">
        <f aca="false">D51-C51</f>
        <v>0</v>
      </c>
    </row>
    <row r="52" customFormat="false" ht="18" hidden="false" customHeight="true" outlineLevel="0" collapsed="false">
      <c r="B52" s="6" t="s">
        <v>641</v>
      </c>
      <c r="C52" s="207" t="n">
        <f aca="false">C50-C51</f>
        <v>4022722.921025</v>
      </c>
      <c r="D52" s="208" t="n">
        <f aca="false">D50-D51</f>
        <v>4022722.921025</v>
      </c>
      <c r="E52" s="207" t="n">
        <f aca="false">D52-C52</f>
        <v>0</v>
      </c>
    </row>
    <row r="53" customFormat="false" ht="15" hidden="false" customHeight="true" outlineLevel="0" collapsed="false">
      <c r="B53" s="6" t="s">
        <v>642</v>
      </c>
      <c r="C53" s="205" t="n">
        <f aca="false">-'Group OpEx'!C30</f>
        <v>-1761550.6645</v>
      </c>
      <c r="D53" s="206" t="n">
        <f aca="false">-'Group OpEx'!C30</f>
        <v>-1761550.6645</v>
      </c>
      <c r="E53" s="209" t="n">
        <v>0</v>
      </c>
    </row>
    <row r="54" customFormat="false" ht="15" hidden="false" customHeight="true" outlineLevel="0" collapsed="false">
      <c r="B54" s="159" t="s">
        <v>643</v>
      </c>
      <c r="C54" s="210" t="n">
        <f aca="false">C52+C53</f>
        <v>2261172.256525</v>
      </c>
      <c r="D54" s="211" t="n">
        <f aca="false">D52+D53</f>
        <v>2261172.256525</v>
      </c>
      <c r="E54" s="210" t="n">
        <f aca="false">D54-C54</f>
        <v>0</v>
      </c>
    </row>
    <row r="55" customFormat="false" ht="15" hidden="false" customHeight="true" outlineLevel="0" collapsed="false">
      <c r="B55" s="159" t="s">
        <v>644</v>
      </c>
      <c r="C55" s="212" t="n">
        <f aca="false">C54/C50</f>
        <v>0.338903589599894</v>
      </c>
      <c r="D55" s="213" t="n">
        <f aca="false">D54/D50</f>
        <v>0.338903589599894</v>
      </c>
      <c r="E55" s="212" t="n">
        <f aca="false">D55-C55</f>
        <v>0</v>
      </c>
    </row>
    <row r="56" customFormat="false" ht="15" hidden="false" customHeight="true" outlineLevel="0" collapsed="false">
      <c r="B56" s="6"/>
      <c r="D56" s="6"/>
    </row>
    <row r="57" customFormat="false" ht="18" hidden="false" customHeight="true" outlineLevel="0" collapsed="false">
      <c r="B57" s="159" t="s">
        <v>645</v>
      </c>
      <c r="D57" s="6"/>
    </row>
    <row r="58" customFormat="false" ht="15" hidden="false" customHeight="true" outlineLevel="0" collapsed="false">
      <c r="B58" s="6" t="s">
        <v>646</v>
      </c>
      <c r="C58" s="205" t="n">
        <f aca="false">'Consolidated 8Yr P&amp;L'!E35</f>
        <v>2159351.87463882</v>
      </c>
      <c r="D58" s="206" t="n">
        <f aca="false">'Consolidated 8Yr P&amp;L'!E35*(D50/C50)</f>
        <v>2159351.87463882</v>
      </c>
      <c r="E58" s="207" t="n">
        <f aca="false">D58-C58</f>
        <v>0</v>
      </c>
    </row>
    <row r="59" customFormat="false" ht="18" hidden="false" customHeight="true" outlineLevel="0" collapsed="false">
      <c r="B59" s="6" t="s">
        <v>647</v>
      </c>
      <c r="C59" s="207" t="n">
        <f aca="false">C58*$C$38</f>
        <v>34549629.9942212</v>
      </c>
      <c r="D59" s="208" t="n">
        <f aca="false">D58*$C$38</f>
        <v>34549629.9942212</v>
      </c>
      <c r="E59" s="207" t="n">
        <f aca="false">D59-C59</f>
        <v>0</v>
      </c>
    </row>
    <row r="60" customFormat="false" ht="15" hidden="false" customHeight="true" outlineLevel="0" collapsed="false">
      <c r="B60" s="6" t="s">
        <v>648</v>
      </c>
      <c r="C60" s="170" t="n">
        <f aca="false">0.5*0.33*MASTER_ASSUMPTIONS!C15*MASTER_ASSUMPTIONS!C19</f>
        <v>1484999.98101023</v>
      </c>
      <c r="D60" s="214" t="n">
        <f aca="false">C60</f>
        <v>1484999.98101023</v>
      </c>
      <c r="E60" s="215" t="n">
        <v>0</v>
      </c>
    </row>
    <row r="61" customFormat="false" ht="15" hidden="false" customHeight="true" outlineLevel="0" collapsed="false">
      <c r="B61" s="6" t="s">
        <v>649</v>
      </c>
      <c r="C61" s="205" t="n">
        <f aca="false">(MASTER_ASSUMPTIONS!C15-0.5*0.33*MASTER_ASSUMPTIONS!C15)*C59</f>
        <v>12982023.3043181</v>
      </c>
      <c r="D61" s="206" t="n">
        <f aca="false">(MASTER_ASSUMPTIONS!C15-0.5*0.33*MASTER_ASSUMPTIONS!C15)*D59</f>
        <v>12982023.3043181</v>
      </c>
      <c r="E61" s="207" t="n">
        <f aca="false">D61-C61</f>
        <v>0</v>
      </c>
    </row>
    <row r="62" customFormat="false" ht="33.75" hidden="false" customHeight="true" outlineLevel="0" collapsed="false">
      <c r="B62" s="6" t="s">
        <v>650</v>
      </c>
      <c r="C62" s="215" t="n">
        <f aca="false">DEAL_ARCHITECTURE!D28+DEAL_ARCHITECTURE!D29+DEAL_ARCHITECTURE!D30</f>
        <v>719207.802946747</v>
      </c>
      <c r="D62" s="216" t="n">
        <f aca="false">DEAL_ARCHITECTURE!D28+DEAL_ARCHITECTURE!D29+DEAL_ARCHITECTURE!D30</f>
        <v>719207.802946747</v>
      </c>
      <c r="E62" s="215" t="n">
        <v>0</v>
      </c>
    </row>
    <row r="63" customFormat="false" ht="15" hidden="false" customHeight="true" outlineLevel="0" collapsed="false">
      <c r="B63" s="159" t="s">
        <v>651</v>
      </c>
      <c r="C63" s="210" t="n">
        <f aca="false">C60+C61+C62</f>
        <v>15186231.0882751</v>
      </c>
      <c r="D63" s="217" t="n">
        <f aca="false">D60+D61+D62</f>
        <v>15186231.0882751</v>
      </c>
      <c r="E63" s="210" t="n">
        <f aca="false">D63-C63</f>
        <v>0</v>
      </c>
    </row>
    <row r="64" customFormat="false" ht="15" hidden="false" customHeight="true" outlineLevel="0" collapsed="false">
      <c r="B64" s="159" t="s">
        <v>652</v>
      </c>
      <c r="C64" s="218" t="n">
        <f aca="false">C63/MASTER_ASSUMPTIONS!C13</f>
        <v>1.94197328494566</v>
      </c>
      <c r="D64" s="219" t="n">
        <f aca="false">D63/MASTER_ASSUMPTIONS!C13</f>
        <v>1.94197328494566</v>
      </c>
      <c r="E64" s="220" t="n">
        <f aca="false">D64-C64</f>
        <v>0</v>
      </c>
    </row>
    <row r="65" customFormat="false" ht="15" hidden="false" customHeight="true" outlineLevel="0" collapsed="false">
      <c r="B65" s="159" t="s">
        <v>653</v>
      </c>
      <c r="C65" s="212" t="n">
        <f aca="false">(C64^(1/3.5))-1</f>
        <v>0.20880212451708</v>
      </c>
      <c r="D65" s="213" t="n">
        <f aca="false">(D64^(1/3.5))-1</f>
        <v>0.20880212451708</v>
      </c>
      <c r="E65" s="212" t="n">
        <f aca="false">D65-C65</f>
        <v>0</v>
      </c>
    </row>
    <row r="66" customFormat="false" ht="15" hidden="false" customHeight="true" outlineLevel="0" collapsed="false">
      <c r="B66" s="6"/>
      <c r="D66" s="6"/>
    </row>
    <row r="67" customFormat="false" ht="15" hidden="false" customHeight="true" outlineLevel="0" collapsed="false">
      <c r="B67" s="6"/>
      <c r="D67" s="6"/>
    </row>
    <row r="68" customFormat="false" ht="15.75" hidden="false" customHeight="true" outlineLevel="0" collapsed="false">
      <c r="B68" s="192" t="s">
        <v>654</v>
      </c>
      <c r="D68" s="6"/>
    </row>
    <row r="69" customFormat="false" ht="15" hidden="false" customHeight="true" outlineLevel="0" collapsed="false">
      <c r="B69" s="6"/>
      <c r="D69" s="6"/>
    </row>
    <row r="70" customFormat="false" ht="18" hidden="false" customHeight="true" outlineLevel="0" collapsed="false">
      <c r="B70" s="159" t="s">
        <v>655</v>
      </c>
      <c r="D70" s="6"/>
    </row>
    <row r="71" customFormat="false" ht="18" hidden="false" customHeight="true" outlineLevel="0" collapsed="false">
      <c r="B71" s="6" t="s">
        <v>656</v>
      </c>
      <c r="D71" s="6"/>
    </row>
    <row r="72" customFormat="false" ht="18" hidden="false" customHeight="true" outlineLevel="0" collapsed="false">
      <c r="B72" s="6" t="s">
        <v>657</v>
      </c>
      <c r="D72" s="6"/>
    </row>
    <row r="73" customFormat="false" ht="15" hidden="false" customHeight="true" outlineLevel="0" collapsed="false">
      <c r="B73" s="6" t="s">
        <v>658</v>
      </c>
      <c r="D73" s="6"/>
    </row>
    <row r="74" customFormat="false" ht="24" hidden="false" customHeight="true" outlineLevel="0" collapsed="false">
      <c r="B74" s="6" t="s">
        <v>659</v>
      </c>
      <c r="D74" s="6"/>
    </row>
    <row r="75" customFormat="false" ht="15" hidden="false" customHeight="true" outlineLevel="0" collapsed="false">
      <c r="B75" s="6"/>
      <c r="D75" s="6"/>
    </row>
    <row r="76" customFormat="false" ht="15" hidden="false" customHeight="true" outlineLevel="0" collapsed="false">
      <c r="B76" s="159" t="s">
        <v>660</v>
      </c>
      <c r="D76" s="6"/>
    </row>
    <row r="77" customFormat="false" ht="18" hidden="false" customHeight="true" outlineLevel="0" collapsed="false">
      <c r="B77" s="6" t="s">
        <v>656</v>
      </c>
      <c r="D77" s="6"/>
    </row>
    <row r="78" customFormat="false" ht="18" hidden="false" customHeight="true" outlineLevel="0" collapsed="false">
      <c r="B78" s="6" t="s">
        <v>661</v>
      </c>
      <c r="D78" s="6"/>
    </row>
    <row r="79" customFormat="false" ht="18" hidden="false" customHeight="true" outlineLevel="0" collapsed="false">
      <c r="B79" s="6" t="s">
        <v>662</v>
      </c>
      <c r="D79" s="6"/>
    </row>
    <row r="80" customFormat="false" ht="15" hidden="false" customHeight="true" outlineLevel="0" collapsed="false">
      <c r="B80" s="6"/>
      <c r="D80" s="6"/>
    </row>
    <row r="81" customFormat="false" ht="18" hidden="false" customHeight="true" outlineLevel="0" collapsed="false">
      <c r="B81" s="159" t="s">
        <v>663</v>
      </c>
      <c r="C81" s="157" t="str">
        <f aca="false">'Exec Summary'!H7</f>
        <v>BASE</v>
      </c>
      <c r="D8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 collapsed="false" customWidth="true" hidden="false" outlineLevel="0" max="12" min="12" style="0" width="9"/>
  </cols>
  <sheetData>
    <row r="1" customFormat="false" ht="3.75" hidden="false" customHeight="true" outlineLevel="0" collapsed="false">
      <c r="B1" s="876"/>
      <c r="C1" s="877"/>
      <c r="D1" s="877"/>
      <c r="E1" s="877"/>
      <c r="F1" s="877"/>
      <c r="G1" s="877"/>
      <c r="H1" s="877"/>
      <c r="I1" s="877"/>
      <c r="J1" s="877"/>
      <c r="K1" s="876"/>
      <c r="L1" s="877"/>
    </row>
    <row r="2" customFormat="false" ht="27.75" hidden="false" customHeight="true" outlineLevel="0" collapsed="false">
      <c r="B2" s="917" t="s">
        <v>4057</v>
      </c>
      <c r="C2" s="917"/>
      <c r="D2" s="917"/>
      <c r="E2" s="917"/>
      <c r="F2" s="917"/>
      <c r="G2" s="917"/>
      <c r="H2" s="917"/>
      <c r="I2" s="89" t="s">
        <v>3432</v>
      </c>
      <c r="J2" s="89"/>
      <c r="K2" s="89"/>
      <c r="L2" s="89"/>
    </row>
    <row r="3" customFormat="false" ht="33.75" hidden="false" customHeight="true" outlineLevel="0" collapsed="false">
      <c r="B3" s="90" t="s">
        <v>4058</v>
      </c>
      <c r="C3" s="90"/>
      <c r="D3" s="90"/>
      <c r="E3" s="90"/>
      <c r="F3" s="90"/>
      <c r="G3" s="90"/>
      <c r="H3" s="90"/>
      <c r="I3" s="90"/>
      <c r="J3" s="90"/>
      <c r="K3" s="90"/>
      <c r="L3" s="90"/>
    </row>
    <row r="4" customFormat="false" ht="15" hidden="false" customHeight="true" outlineLevel="0" collapsed="false">
      <c r="B4" s="6"/>
      <c r="K4" s="6"/>
    </row>
    <row r="5" customFormat="false" ht="27.75" hidden="false" customHeight="true" outlineLevel="0" collapsed="false">
      <c r="B5" s="880" t="s">
        <v>206</v>
      </c>
      <c r="C5" s="881" t="s">
        <v>760</v>
      </c>
      <c r="D5" s="881" t="s">
        <v>908</v>
      </c>
      <c r="E5" s="881" t="s">
        <v>765</v>
      </c>
      <c r="F5" s="881" t="s">
        <v>770</v>
      </c>
      <c r="G5" s="881" t="s">
        <v>909</v>
      </c>
      <c r="H5" s="881" t="s">
        <v>910</v>
      </c>
      <c r="I5" s="881" t="s">
        <v>911</v>
      </c>
      <c r="J5" s="881" t="s">
        <v>912</v>
      </c>
      <c r="K5" s="880" t="s">
        <v>875</v>
      </c>
    </row>
    <row r="6" customFormat="false" ht="15" hidden="false" customHeight="true" outlineLevel="0" collapsed="false">
      <c r="B6" s="592" t="s">
        <v>4059</v>
      </c>
      <c r="C6" s="1053" t="n">
        <f aca="false">'Gaming · Drivers'!C95</f>
        <v>0.9</v>
      </c>
      <c r="D6" s="1053" t="n">
        <f aca="false">'Gaming · Drivers'!C96</f>
        <v>0.95</v>
      </c>
      <c r="E6" s="1053" t="n">
        <f aca="false">'Gaming · Drivers'!C97</f>
        <v>1</v>
      </c>
      <c r="F6" s="1053" t="n">
        <f aca="false">'Gaming · Drivers'!C98</f>
        <v>1</v>
      </c>
      <c r="G6" s="1053" t="n">
        <f aca="false">'Gaming · Drivers'!C99</f>
        <v>1.05</v>
      </c>
      <c r="H6" s="1053" t="n">
        <f aca="false">'Gaming · Drivers'!C100</f>
        <v>1.08</v>
      </c>
      <c r="I6" s="1053" t="n">
        <f aca="false">'Gaming · Drivers'!C101</f>
        <v>1.1</v>
      </c>
      <c r="J6" s="1053" t="n">
        <f aca="false">'Gaming · Drivers'!C102</f>
        <v>1.1</v>
      </c>
      <c r="K6" s="6"/>
    </row>
    <row r="7" customFormat="false" ht="15" hidden="false" customHeight="true" outlineLevel="0" collapsed="false">
      <c r="B7" s="592" t="s">
        <v>4060</v>
      </c>
      <c r="C7" s="1054" t="n">
        <f aca="false">(1+'Gaming · Drivers'!C103)^0</f>
        <v>1</v>
      </c>
      <c r="D7" s="1054" t="n">
        <f aca="false">(1+'Gaming · Drivers'!C103)^1</f>
        <v>1.03</v>
      </c>
      <c r="E7" s="1054" t="n">
        <f aca="false">(1+'Gaming · Drivers'!C103)^2</f>
        <v>1.0609</v>
      </c>
      <c r="F7" s="1054" t="n">
        <f aca="false">(1+'Gaming · Drivers'!C103)^3</f>
        <v>1.092727</v>
      </c>
      <c r="G7" s="1054" t="n">
        <f aca="false">(1+'Gaming · Drivers'!C103)^4</f>
        <v>1.12550881</v>
      </c>
      <c r="H7" s="1054" t="n">
        <f aca="false">(1+'Gaming · Drivers'!C103)^5</f>
        <v>1.1592740743</v>
      </c>
      <c r="I7" s="1054" t="n">
        <f aca="false">(1+'Gaming · Drivers'!C103)^6</f>
        <v>1.194052296529</v>
      </c>
      <c r="J7" s="1054" t="n">
        <f aca="false">(1+'Gaming · Drivers'!C103)^7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08" t="s">
        <v>4062</v>
      </c>
      <c r="C10" s="1055" t="n">
        <f aca="false">'Gaming · Revenue'!D58</f>
        <v>1000998.35</v>
      </c>
      <c r="D10" s="1055" t="n">
        <f aca="false">'Gaming · Revenue'!D58</f>
        <v>1000998.35</v>
      </c>
      <c r="E10" s="1055" t="n">
        <f aca="false">'Gaming · Revenue'!D58</f>
        <v>1000998.35</v>
      </c>
      <c r="F10" s="1055" t="n">
        <f aca="false">'Gaming · Revenue'!D58</f>
        <v>1000998.35</v>
      </c>
      <c r="G10" s="1055" t="n">
        <f aca="false">'Gaming · Revenue'!D58</f>
        <v>1000998.35</v>
      </c>
      <c r="H10" s="1055" t="n">
        <f aca="false">'Gaming · Revenue'!D58</f>
        <v>1000998.35</v>
      </c>
      <c r="I10" s="1055" t="n">
        <f aca="false">'Gaming · Revenue'!D58</f>
        <v>1000998.35</v>
      </c>
      <c r="J10" s="1055" t="n">
        <f aca="false">'Gaming · Revenue'!D58</f>
        <v>1000998.35</v>
      </c>
      <c r="K10" s="6"/>
    </row>
    <row r="11" customFormat="false" ht="15" hidden="false" customHeight="true" outlineLevel="0" collapsed="false">
      <c r="B11" s="81" t="s">
        <v>4063</v>
      </c>
      <c r="C11" s="1056" t="n">
        <f aca="false">'Gaming · Revenue'!D58*C6*C7</f>
        <v>900898.515</v>
      </c>
      <c r="D11" s="1056" t="n">
        <f aca="false">'Gaming · Revenue'!D58*D6*D7</f>
        <v>979476.885475</v>
      </c>
      <c r="E11" s="1056" t="n">
        <f aca="false">'Gaming · Revenue'!D58*E6*E7</f>
        <v>1061959.149515</v>
      </c>
      <c r="F11" s="1056" t="n">
        <f aca="false">'Gaming · Revenue'!D58*F6*F7</f>
        <v>1093817.92400045</v>
      </c>
      <c r="G11" s="1056" t="n">
        <f aca="false">'Gaming · Revenue'!D58*G6*G7</f>
        <v>1182964.08480649</v>
      </c>
      <c r="H11" s="1056" t="n">
        <f aca="false">'Gaming · Revenue'!D58*H6*H7</f>
        <v>1253265.95041784</v>
      </c>
      <c r="I11" s="1056" t="n">
        <f aca="false">'Gaming · Revenue'!D58*I6*I7</f>
        <v>1314768.81650316</v>
      </c>
      <c r="J11" s="1056" t="n">
        <f aca="false">'Gaming · Revenue'!D58*J6*J7</f>
        <v>1354211.88099826</v>
      </c>
      <c r="K11" s="904" t="n">
        <f aca="false">SUM(C11:J11)</f>
        <v>9141363.2067162</v>
      </c>
    </row>
    <row r="12" customFormat="false" ht="15" hidden="false" customHeight="true" outlineLevel="0" collapsed="false">
      <c r="B12" s="128" t="s">
        <v>4064</v>
      </c>
      <c r="C12" s="1024" t="str">
        <f aca="false">""</f>
        <v/>
      </c>
      <c r="D12" s="969" t="n">
        <f aca="false">D11/C11-1</f>
        <v>0.0872222222222221</v>
      </c>
      <c r="E12" s="969" t="n">
        <f aca="false">E11/D11-1</f>
        <v>0.0842105263157895</v>
      </c>
      <c r="F12" s="969" t="n">
        <f aca="false">F11/E11-1</f>
        <v>0.03</v>
      </c>
      <c r="G12" s="969" t="n">
        <f aca="false">G11/F11-1</f>
        <v>0.0815000000000004</v>
      </c>
      <c r="H12" s="969" t="n">
        <f aca="false">H11/G11-1</f>
        <v>0.0594285714285714</v>
      </c>
      <c r="I12" s="969" t="n">
        <f aca="false">I11/H11-1</f>
        <v>0.0490740740740741</v>
      </c>
      <c r="J12" s="969"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28" t="s">
        <v>4066</v>
      </c>
      <c r="C15" s="1055" t="n">
        <f aca="false">'Gaming · Costs'!C31*C7</f>
        <v>288494.5358925</v>
      </c>
      <c r="D15" s="1055" t="n">
        <f aca="false">'Gaming · Costs'!C31*D7</f>
        <v>297149.371969275</v>
      </c>
      <c r="E15" s="1055" t="n">
        <f aca="false">'Gaming · Costs'!C31*E7</f>
        <v>306063.853128353</v>
      </c>
      <c r="F15" s="1055" t="n">
        <f aca="false">'Gaming · Costs'!C31*F7</f>
        <v>315245.768722204</v>
      </c>
      <c r="G15" s="1055" t="n">
        <f aca="false">'Gaming · Costs'!C31*G7</f>
        <v>324703.14178387</v>
      </c>
      <c r="H15" s="1055" t="n">
        <f aca="false">'Gaming · Costs'!C31*H7</f>
        <v>334444.236037386</v>
      </c>
      <c r="I15" s="1055" t="n">
        <f aca="false">'Gaming · Costs'!C31*I7</f>
        <v>344477.563118508</v>
      </c>
      <c r="J15" s="1055" t="n">
        <f aca="false">'Gaming · Costs'!C31*J7</f>
        <v>354811.890012063</v>
      </c>
      <c r="K15" s="6"/>
    </row>
    <row r="16" customFormat="false" ht="15" hidden="false" customHeight="true" outlineLevel="0" collapsed="false">
      <c r="B16" s="108" t="s">
        <v>4067</v>
      </c>
      <c r="C16" s="1055" t="n">
        <f aca="false">'Gaming · Costs'!C32*C6*C7</f>
        <v>161096.68537425</v>
      </c>
      <c r="D16" s="1055" t="n">
        <f aca="false">'Gaming · Costs'!C32*D6*D7</f>
        <v>175147.896265226</v>
      </c>
      <c r="E16" s="1055" t="n">
        <f aca="false">'Gaming · Costs'!C32*E6*E7</f>
        <v>189897.192792824</v>
      </c>
      <c r="F16" s="1055" t="n">
        <f aca="false">'Gaming · Costs'!C32*F6*F7</f>
        <v>195594.108576609</v>
      </c>
      <c r="G16" s="1055" t="n">
        <f aca="false">'Gaming · Costs'!C32*G6*G7</f>
        <v>211535.028425603</v>
      </c>
      <c r="H16" s="1055" t="n">
        <f aca="false">'Gaming · Costs'!C32*H6*H7</f>
        <v>224106.252972038</v>
      </c>
      <c r="I16" s="1055" t="n">
        <f aca="false">'Gaming · Costs'!C32*I6*I7</f>
        <v>235104.059830851</v>
      </c>
      <c r="J16" s="1055" t="n">
        <f aca="false">'Gaming · Costs'!C32*J6*J7</f>
        <v>242157.181625777</v>
      </c>
      <c r="K16" s="6"/>
    </row>
    <row r="17" customFormat="false" ht="15" hidden="false" customHeight="true" outlineLevel="0" collapsed="false">
      <c r="B17" s="81" t="s">
        <v>4068</v>
      </c>
      <c r="C17" s="1057" t="n">
        <f aca="false">C15+C16</f>
        <v>449591.22126675</v>
      </c>
      <c r="D17" s="1057" t="n">
        <f aca="false">D15+D16</f>
        <v>472297.268234501</v>
      </c>
      <c r="E17" s="1057" t="n">
        <f aca="false">E15+E16</f>
        <v>495961.045921177</v>
      </c>
      <c r="F17" s="1057" t="n">
        <f aca="false">F15+F16</f>
        <v>510839.877298813</v>
      </c>
      <c r="G17" s="1057" t="n">
        <f aca="false">G15+G16</f>
        <v>536238.170209473</v>
      </c>
      <c r="H17" s="1057" t="n">
        <f aca="false">H15+H16</f>
        <v>558550.489009425</v>
      </c>
      <c r="I17" s="1057" t="n">
        <f aca="false">I15+I16</f>
        <v>579581.622949359</v>
      </c>
      <c r="J17" s="1057" t="n">
        <f aca="false">J15+J16</f>
        <v>596969.07163784</v>
      </c>
      <c r="K17" s="1058" t="n">
        <f aca="false">SUM(C17:J17)</f>
        <v>4200028.76652734</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27.75" hidden="false" customHeight="true" outlineLevel="0" collapsed="false">
      <c r="B20" s="1028" t="s">
        <v>3437</v>
      </c>
      <c r="C20" s="841" t="n">
        <f aca="false">C11-C17</f>
        <v>451307.29373325</v>
      </c>
      <c r="D20" s="841" t="n">
        <f aca="false">D11-D17</f>
        <v>507179.617240499</v>
      </c>
      <c r="E20" s="841" t="n">
        <f aca="false">E11-E17</f>
        <v>565998.103593823</v>
      </c>
      <c r="F20" s="841" t="n">
        <f aca="false">F11-F17</f>
        <v>582978.046701637</v>
      </c>
      <c r="G20" s="841" t="n">
        <f aca="false">G11-G17</f>
        <v>646725.914597014</v>
      </c>
      <c r="H20" s="841" t="n">
        <f aca="false">H11-H17</f>
        <v>694715.461408419</v>
      </c>
      <c r="I20" s="841" t="n">
        <f aca="false">I11-I17</f>
        <v>735187.193553805</v>
      </c>
      <c r="J20" s="841" t="n">
        <f aca="false">J11-J17</f>
        <v>757242.809360419</v>
      </c>
      <c r="K20" s="899" t="n">
        <f aca="false">SUM(C20:J20)</f>
        <v>4941334.44018887</v>
      </c>
    </row>
    <row r="21" customFormat="false" ht="15" hidden="false" customHeight="true" outlineLevel="0" collapsed="false">
      <c r="B21" s="128" t="s">
        <v>4070</v>
      </c>
      <c r="C21" s="969" t="n">
        <f aca="false">C20/C11</f>
        <v>0.500952422741256</v>
      </c>
      <c r="D21" s="969" t="n">
        <f aca="false">D20/D11</f>
        <v>0.517806621842373</v>
      </c>
      <c r="E21" s="969" t="n">
        <f aca="false">E20/E11</f>
        <v>0.532975401033378</v>
      </c>
      <c r="F21" s="969" t="n">
        <f aca="false">F20/F11</f>
        <v>0.532975401033378</v>
      </c>
      <c r="G21" s="969" t="n">
        <f aca="false">G20/G11</f>
        <v>0.546699534587145</v>
      </c>
      <c r="H21" s="969" t="n">
        <f aca="false">H20/H11</f>
        <v>0.554324053228127</v>
      </c>
      <c r="I21" s="969" t="n">
        <f aca="false">I20/I11</f>
        <v>0.559176019636024</v>
      </c>
      <c r="J21" s="969" t="n">
        <f aca="false">J20/J11</f>
        <v>0.559176019636024</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81" t="s">
        <v>4072</v>
      </c>
      <c r="C24" s="1056" t="n">
        <f aca="false">C11</f>
        <v>900898.515</v>
      </c>
      <c r="D24" s="1056" t="n">
        <f aca="false">C24+D11</f>
        <v>1880375.400475</v>
      </c>
      <c r="E24" s="1056" t="n">
        <f aca="false">D24+E11</f>
        <v>2942334.54999</v>
      </c>
      <c r="F24" s="1056" t="n">
        <f aca="false">E24+F11</f>
        <v>4036152.47399045</v>
      </c>
      <c r="G24" s="1056" t="n">
        <f aca="false">F24+G11</f>
        <v>5219116.55879694</v>
      </c>
      <c r="H24" s="1056" t="n">
        <f aca="false">G24+H11</f>
        <v>6472382.50921478</v>
      </c>
      <c r="I24" s="1056" t="n">
        <f aca="false">H24+I11</f>
        <v>7787151.32571795</v>
      </c>
      <c r="J24" s="1056" t="n">
        <f aca="false">I24+J11</f>
        <v>9141363.2067162</v>
      </c>
      <c r="K24" s="6"/>
    </row>
    <row r="25" customFormat="false" ht="15" hidden="false" customHeight="true" outlineLevel="0" collapsed="false">
      <c r="B25" s="81" t="s">
        <v>4073</v>
      </c>
      <c r="C25" s="1056" t="n">
        <f aca="false">C20</f>
        <v>451307.29373325</v>
      </c>
      <c r="D25" s="1026" t="n">
        <f aca="false">C25+D20</f>
        <v>958486.910973749</v>
      </c>
      <c r="E25" s="1026" t="n">
        <f aca="false">D25+E20</f>
        <v>1524485.01456757</v>
      </c>
      <c r="F25" s="1026" t="n">
        <f aca="false">E25+F20</f>
        <v>2107463.06126921</v>
      </c>
      <c r="G25" s="1026" t="n">
        <f aca="false">F25+G20</f>
        <v>2754188.97586622</v>
      </c>
      <c r="H25" s="1026" t="n">
        <f aca="false">G25+H20</f>
        <v>3448904.43727464</v>
      </c>
      <c r="I25" s="1026" t="n">
        <f aca="false">H25+I20</f>
        <v>4184091.63082845</v>
      </c>
      <c r="J25" s="1026" t="n">
        <f aca="false">I25+J20</f>
        <v>4941334.44018887</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96" t="s">
        <v>4074</v>
      </c>
      <c r="C28" s="96"/>
      <c r="D28" s="96"/>
      <c r="E28" s="96"/>
      <c r="F28" s="96"/>
      <c r="G28" s="96"/>
      <c r="H28" s="96"/>
      <c r="I28" s="96"/>
      <c r="J28" s="96"/>
      <c r="K28" s="96"/>
    </row>
    <row r="29" customFormat="false" ht="27.75" hidden="false" customHeight="true" outlineLevel="0" collapsed="false">
      <c r="B29" s="880" t="s">
        <v>206</v>
      </c>
      <c r="C29" s="881" t="s">
        <v>393</v>
      </c>
      <c r="D29" s="881" t="s">
        <v>778</v>
      </c>
      <c r="E29" s="881"/>
      <c r="F29" s="881"/>
      <c r="G29" s="881"/>
      <c r="H29" s="881"/>
      <c r="I29" s="881"/>
      <c r="J29" s="881"/>
      <c r="K29" s="881"/>
    </row>
    <row r="30" customFormat="false" ht="15" hidden="false" customHeight="true" outlineLevel="0" collapsed="false">
      <c r="B30" s="81" t="s">
        <v>4075</v>
      </c>
      <c r="C30" s="1056" t="n">
        <f aca="false">C11</f>
        <v>900898.515</v>
      </c>
      <c r="D30" s="1059" t="s">
        <v>4076</v>
      </c>
      <c r="E30" s="1059"/>
      <c r="F30" s="1059"/>
      <c r="G30" s="1059"/>
      <c r="H30" s="1059"/>
      <c r="I30" s="1059"/>
      <c r="J30" s="1059"/>
      <c r="K30" s="1059"/>
    </row>
    <row r="31" customFormat="false" ht="15" hidden="false" customHeight="true" outlineLevel="0" collapsed="false">
      <c r="B31" s="81" t="s">
        <v>4077</v>
      </c>
      <c r="C31" s="1056" t="n">
        <f aca="false">J11</f>
        <v>1354211.88099826</v>
      </c>
      <c r="D31" s="1059" t="s">
        <v>4078</v>
      </c>
      <c r="E31" s="1059"/>
      <c r="F31" s="1059"/>
      <c r="G31" s="1059"/>
      <c r="H31" s="1059"/>
      <c r="I31" s="1059"/>
      <c r="J31" s="1059"/>
      <c r="K31" s="1059"/>
    </row>
    <row r="32" customFormat="false" ht="15" hidden="false" customHeight="true" outlineLevel="0" collapsed="false">
      <c r="B32" s="903" t="s">
        <v>3460</v>
      </c>
      <c r="C32" s="1060" t="n">
        <f aca="false">K11</f>
        <v>9141363.2067162</v>
      </c>
      <c r="D32" s="1059" t="s">
        <v>4079</v>
      </c>
      <c r="E32" s="1059"/>
      <c r="F32" s="1059"/>
      <c r="G32" s="1059"/>
      <c r="H32" s="1059"/>
      <c r="I32" s="1059"/>
      <c r="J32" s="1059"/>
      <c r="K32" s="1059"/>
    </row>
    <row r="33" customFormat="false" ht="15" hidden="false" customHeight="true" outlineLevel="0" collapsed="false">
      <c r="B33" s="1061" t="s">
        <v>4080</v>
      </c>
      <c r="C33" s="885" t="n">
        <f aca="false">K20</f>
        <v>4941334.44018887</v>
      </c>
      <c r="D33" s="1059" t="s">
        <v>4081</v>
      </c>
      <c r="E33" s="1059"/>
      <c r="F33" s="1059"/>
      <c r="G33" s="1059"/>
      <c r="H33" s="1059"/>
      <c r="I33" s="1059"/>
      <c r="J33" s="1059"/>
      <c r="K33" s="1059"/>
    </row>
    <row r="34" customFormat="false" ht="15" hidden="false" customHeight="true" outlineLevel="0" collapsed="false">
      <c r="B34" s="113" t="s">
        <v>4082</v>
      </c>
      <c r="C34" s="1062" t="n">
        <f aca="false">K20/K11</f>
        <v>0.540546779342324</v>
      </c>
      <c r="D34" s="1059" t="s">
        <v>4083</v>
      </c>
      <c r="E34" s="1059"/>
      <c r="F34" s="1059"/>
      <c r="G34" s="1059"/>
      <c r="H34" s="1059"/>
      <c r="I34" s="1059"/>
      <c r="J34" s="1059"/>
      <c r="K34" s="1059"/>
    </row>
    <row r="35" customFormat="false" ht="15" hidden="false" customHeight="true" outlineLevel="0" collapsed="false">
      <c r="B35" s="113" t="s">
        <v>4084</v>
      </c>
      <c r="C35" s="1062" t="n">
        <f aca="false">(J11/C11)^(1/7)-1</f>
        <v>0.0599545654797864</v>
      </c>
      <c r="D35" s="1059" t="s">
        <v>4085</v>
      </c>
      <c r="E35" s="1059"/>
      <c r="F35" s="1059"/>
      <c r="G35" s="1059"/>
      <c r="H35" s="1059"/>
      <c r="I35" s="1059"/>
      <c r="J35" s="1059"/>
      <c r="K35" s="1059"/>
    </row>
  </sheetData>
  <mergeCells count="15">
    <mergeCell ref="B2:H2"/>
    <mergeCell ref="I2:L2"/>
    <mergeCell ref="B3:L3"/>
    <mergeCell ref="B9:K9"/>
    <mergeCell ref="B14:K14"/>
    <mergeCell ref="B19:K19"/>
    <mergeCell ref="B23:K23"/>
    <mergeCell ref="B28:K28"/>
    <mergeCell ref="D29:K29"/>
    <mergeCell ref="D30:K30"/>
    <mergeCell ref="D31:K31"/>
    <mergeCell ref="D32:K32"/>
    <mergeCell ref="D33:K33"/>
    <mergeCell ref="D34:K34"/>
    <mergeCell ref="D35:K3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3"/>
    <col collapsed="false" customWidth="true" hidden="false" outlineLevel="0" max="10" min="3" style="0" width="11"/>
    <col collapsed="false" customWidth="true" hidden="false" outlineLevel="0" max="11" min="11" style="0" width="13"/>
    <col collapsed="false" customWidth="true" hidden="false" outlineLevel="0" max="12" min="12" style="0" width="9"/>
  </cols>
  <sheetData>
    <row r="1" customFormat="false" ht="3.75" hidden="false" customHeight="true" outlineLevel="0" collapsed="false">
      <c r="B1" s="876"/>
      <c r="C1" s="877"/>
      <c r="D1" s="877"/>
      <c r="E1" s="877"/>
      <c r="F1" s="877"/>
      <c r="G1" s="877"/>
      <c r="H1" s="877"/>
      <c r="I1" s="877"/>
      <c r="J1" s="877"/>
      <c r="K1" s="876"/>
      <c r="L1" s="877"/>
    </row>
    <row r="2" customFormat="false" ht="27.75" hidden="false" customHeight="true" outlineLevel="0" collapsed="false">
      <c r="B2" s="917" t="s">
        <v>4086</v>
      </c>
      <c r="C2" s="917"/>
      <c r="D2" s="917"/>
      <c r="E2" s="917"/>
      <c r="F2" s="917"/>
      <c r="G2" s="917"/>
      <c r="H2" s="917"/>
      <c r="I2" s="89" t="s">
        <v>3432</v>
      </c>
      <c r="J2" s="89"/>
      <c r="K2" s="89"/>
      <c r="L2" s="89"/>
    </row>
    <row r="3" customFormat="false" ht="18" hidden="false" customHeight="true" outlineLevel="0" collapsed="false">
      <c r="B3" s="90" t="s">
        <v>4087</v>
      </c>
      <c r="C3" s="90"/>
      <c r="D3" s="90"/>
      <c r="E3" s="90"/>
      <c r="F3" s="90"/>
      <c r="G3" s="90"/>
      <c r="H3" s="90"/>
      <c r="I3" s="90"/>
      <c r="J3" s="90"/>
      <c r="K3" s="90"/>
      <c r="L3" s="90"/>
    </row>
    <row r="4" customFormat="false" ht="15" hidden="false" customHeight="true" outlineLevel="0" collapsed="false">
      <c r="B4" s="6"/>
      <c r="K4" s="6"/>
    </row>
    <row r="5" customFormat="false" ht="27.75" hidden="false" customHeight="true" outlineLevel="0" collapsed="false">
      <c r="B5" s="880" t="s">
        <v>1141</v>
      </c>
      <c r="C5" s="881" t="s">
        <v>760</v>
      </c>
      <c r="D5" s="881" t="s">
        <v>908</v>
      </c>
      <c r="E5" s="881" t="s">
        <v>765</v>
      </c>
      <c r="F5" s="881" t="s">
        <v>770</v>
      </c>
      <c r="G5" s="881" t="s">
        <v>909</v>
      </c>
      <c r="H5" s="881" t="s">
        <v>910</v>
      </c>
      <c r="I5" s="881" t="s">
        <v>911</v>
      </c>
      <c r="J5" s="881" t="s">
        <v>912</v>
      </c>
      <c r="K5" s="880" t="s">
        <v>4088</v>
      </c>
    </row>
    <row r="6" customFormat="false" ht="21.75" hidden="false" customHeight="true" outlineLevel="0" collapsed="false">
      <c r="B6" s="96" t="s">
        <v>4089</v>
      </c>
      <c r="C6" s="96"/>
      <c r="D6" s="96"/>
      <c r="E6" s="96"/>
      <c r="F6" s="96"/>
      <c r="G6" s="96"/>
      <c r="H6" s="96"/>
      <c r="I6" s="96"/>
      <c r="J6" s="96"/>
      <c r="K6" s="96"/>
    </row>
    <row r="7" customFormat="false" ht="15" hidden="false" customHeight="true" outlineLevel="0" collapsed="false">
      <c r="B7" s="113" t="s">
        <v>3449</v>
      </c>
      <c r="C7" s="1063" t="n">
        <f aca="false">'Gaming · Revenue'!D53*'Gaming · 8-Year'!C6*'Gaming · 8-Year'!C7</f>
        <v>543046.14</v>
      </c>
      <c r="D7" s="1063" t="n">
        <f aca="false">'Gaming · Revenue'!D53*'Gaming · 8-Year'!D6*'Gaming · 8-Year'!D7</f>
        <v>590411.8311</v>
      </c>
      <c r="E7" s="1063" t="n">
        <f aca="false">'Gaming · Revenue'!D53*'Gaming · 8-Year'!E6*'Gaming · 8-Year'!E7</f>
        <v>640130.72214</v>
      </c>
      <c r="F7" s="1063" t="n">
        <f aca="false">'Gaming · Revenue'!D53*'Gaming · 8-Year'!F6*'Gaming · 8-Year'!F7</f>
        <v>659334.6438042</v>
      </c>
      <c r="G7" s="1063" t="n">
        <f aca="false">'Gaming · Revenue'!D53*'Gaming · 8-Year'!G6*'Gaming · 8-Year'!G7</f>
        <v>713070.417274242</v>
      </c>
      <c r="H7" s="1063" t="n">
        <f aca="false">'Gaming · Revenue'!D53*'Gaming · 8-Year'!H6*'Gaming · 8-Year'!H7</f>
        <v>755447.173500826</v>
      </c>
      <c r="I7" s="1063" t="n">
        <f aca="false">'Gaming · Revenue'!D53*'Gaming · 8-Year'!I6*'Gaming · 8-Year'!I7</f>
        <v>792520.044052256</v>
      </c>
      <c r="J7" s="1063" t="n">
        <f aca="false">'Gaming · Revenue'!D53*'Gaming · 8-Year'!J6*'Gaming · 8-Year'!J7</f>
        <v>816295.645373823</v>
      </c>
      <c r="K7" s="1064" t="n">
        <f aca="false">SUM(C7:J7)</f>
        <v>5510256.61724535</v>
      </c>
    </row>
    <row r="8" customFormat="false" ht="15" hidden="false" customHeight="true" outlineLevel="0" collapsed="false">
      <c r="B8" s="113" t="s">
        <v>3451</v>
      </c>
      <c r="C8" s="1063" t="n">
        <f aca="false">'Gaming · Revenue'!D54*'Gaming · 8-Year'!C6*'Gaming · 8-Year'!C7</f>
        <v>216961.875</v>
      </c>
      <c r="D8" s="1063" t="n">
        <f aca="false">'Gaming · Revenue'!D54*'Gaming · 8-Year'!D6*'Gaming · 8-Year'!D7</f>
        <v>235885.771875</v>
      </c>
      <c r="E8" s="1063" t="n">
        <f aca="false">'Gaming · Revenue'!D54*'Gaming · 8-Year'!E6*'Gaming · 8-Year'!E7</f>
        <v>255749.836875</v>
      </c>
      <c r="F8" s="1063" t="n">
        <f aca="false">'Gaming · Revenue'!D54*'Gaming · 8-Year'!F6*'Gaming · 8-Year'!F7</f>
        <v>263422.33198125</v>
      </c>
      <c r="G8" s="1063" t="n">
        <f aca="false">'Gaming · Revenue'!D54*'Gaming · 8-Year'!G6*'Gaming · 8-Year'!G7</f>
        <v>284891.252037722</v>
      </c>
      <c r="H8" s="1063" t="n">
        <f aca="false">'Gaming · Revenue'!D54*'Gaming · 8-Year'!H6*'Gaming · 8-Year'!H7</f>
        <v>301821.932158821</v>
      </c>
      <c r="I8" s="1063" t="n">
        <f aca="false">'Gaming · Revenue'!D54*'Gaming · 8-Year'!I6*'Gaming · 8-Year'!I7</f>
        <v>316633.564014763</v>
      </c>
      <c r="J8" s="1063" t="n">
        <f aca="false">'Gaming · Revenue'!D54*'Gaming · 8-Year'!J6*'Gaming · 8-Year'!J7</f>
        <v>326132.570935206</v>
      </c>
      <c r="K8" s="1064" t="n">
        <f aca="false">SUM(C8:J8)</f>
        <v>2201499.13487776</v>
      </c>
    </row>
    <row r="9" customFormat="false" ht="15" hidden="false" customHeight="true" outlineLevel="0" collapsed="false">
      <c r="B9" s="113" t="s">
        <v>3453</v>
      </c>
      <c r="C9" s="1063" t="n">
        <f aca="false">'Gaming · Revenue'!D55*'Gaming · 8-Year'!C6*'Gaming · 8-Year'!C7</f>
        <v>90558</v>
      </c>
      <c r="D9" s="1063" t="n">
        <f aca="false">'Gaming · Revenue'!D55*'Gaming · 8-Year'!D6*'Gaming · 8-Year'!D7</f>
        <v>98456.67</v>
      </c>
      <c r="E9" s="1063" t="n">
        <f aca="false">'Gaming · Revenue'!D55*'Gaming · 8-Year'!E6*'Gaming · 8-Year'!E7</f>
        <v>106747.758</v>
      </c>
      <c r="F9" s="1063" t="n">
        <f aca="false">'Gaming · Revenue'!D55*'Gaming · 8-Year'!F6*'Gaming · 8-Year'!F7</f>
        <v>109950.19074</v>
      </c>
      <c r="G9" s="1063" t="n">
        <f aca="false">'Gaming · Revenue'!D55*'Gaming · 8-Year'!G6*'Gaming · 8-Year'!G7</f>
        <v>118911.13128531</v>
      </c>
      <c r="H9" s="1063" t="n">
        <f aca="false">'Gaming · Revenue'!D55*'Gaming · 8-Year'!H6*'Gaming · 8-Year'!H7</f>
        <v>125977.849944551</v>
      </c>
      <c r="I9" s="1063" t="n">
        <f aca="false">'Gaming · Revenue'!D55*'Gaming · 8-Year'!I6*'Gaming · 8-Year'!I7</f>
        <v>132160.096284423</v>
      </c>
      <c r="J9" s="1063" t="n">
        <f aca="false">'Gaming · Revenue'!D55*'Gaming · 8-Year'!J6*'Gaming · 8-Year'!J7</f>
        <v>136124.899172956</v>
      </c>
      <c r="K9" s="1064" t="n">
        <f aca="false">SUM(C9:J9)</f>
        <v>918886.59542724</v>
      </c>
    </row>
    <row r="10" customFormat="false" ht="15" hidden="false" customHeight="true" outlineLevel="0" collapsed="false">
      <c r="B10" s="113" t="s">
        <v>3454</v>
      </c>
      <c r="C10" s="1063" t="n">
        <f aca="false">'Gaming · Revenue'!D56*'Gaming · 8-Year'!C6*'Gaming · 8-Year'!C7</f>
        <v>37732.5</v>
      </c>
      <c r="D10" s="1063" t="n">
        <f aca="false">'Gaming · Revenue'!D56*'Gaming · 8-Year'!D6*'Gaming · 8-Year'!D7</f>
        <v>41023.6125</v>
      </c>
      <c r="E10" s="1063" t="n">
        <f aca="false">'Gaming · Revenue'!D56*'Gaming · 8-Year'!E6*'Gaming · 8-Year'!E7</f>
        <v>44478.2325</v>
      </c>
      <c r="F10" s="1063" t="n">
        <f aca="false">'Gaming · Revenue'!D56*'Gaming · 8-Year'!F6*'Gaming · 8-Year'!F7</f>
        <v>45812.579475</v>
      </c>
      <c r="G10" s="1063" t="n">
        <f aca="false">'Gaming · Revenue'!D56*'Gaming · 8-Year'!G6*'Gaming · 8-Year'!G7</f>
        <v>49546.3047022125</v>
      </c>
      <c r="H10" s="1063" t="n">
        <f aca="false">'Gaming · Revenue'!D56*'Gaming · 8-Year'!H6*'Gaming · 8-Year'!H7</f>
        <v>52490.7708102297</v>
      </c>
      <c r="I10" s="1063" t="n">
        <f aca="false">'Gaming · Revenue'!D56*'Gaming · 8-Year'!I6*'Gaming · 8-Year'!I7</f>
        <v>55066.7067851762</v>
      </c>
      <c r="J10" s="1063" t="n">
        <f aca="false">'Gaming · Revenue'!D56*'Gaming · 8-Year'!J6*'Gaming · 8-Year'!J7</f>
        <v>56718.7079887315</v>
      </c>
      <c r="K10" s="1064" t="n">
        <f aca="false">SUM(C10:J10)</f>
        <v>382869.41476135</v>
      </c>
    </row>
    <row r="11" customFormat="false" ht="24" hidden="false" customHeight="true" outlineLevel="0" collapsed="false">
      <c r="B11" s="898" t="s">
        <v>4090</v>
      </c>
      <c r="C11" s="1065" t="n">
        <f aca="false">'Gaming · 8-Year'!C11</f>
        <v>900898.515</v>
      </c>
      <c r="D11" s="1065" t="n">
        <f aca="false">'Gaming · 8-Year'!D11</f>
        <v>979476.885475</v>
      </c>
      <c r="E11" s="1065" t="n">
        <f aca="false">'Gaming · 8-Year'!E11</f>
        <v>1061959.149515</v>
      </c>
      <c r="F11" s="1065" t="n">
        <f aca="false">'Gaming · 8-Year'!F11</f>
        <v>1093817.92400045</v>
      </c>
      <c r="G11" s="1065" t="n">
        <f aca="false">'Gaming · 8-Year'!G11</f>
        <v>1182964.08480649</v>
      </c>
      <c r="H11" s="1065" t="n">
        <f aca="false">'Gaming · 8-Year'!H11</f>
        <v>1253265.95041784</v>
      </c>
      <c r="I11" s="1065" t="n">
        <f aca="false">'Gaming · 8-Year'!I11</f>
        <v>1314768.81650316</v>
      </c>
      <c r="J11" s="1065" t="n">
        <f aca="false">'Gaming · 8-Year'!J11</f>
        <v>1354211.88099826</v>
      </c>
      <c r="K11" s="1066" t="n">
        <f aca="false">SUM(C11:J11)</f>
        <v>9141363.2067162</v>
      </c>
    </row>
    <row r="12" customFormat="false" ht="15" hidden="false" customHeight="true" outlineLevel="0" collapsed="false">
      <c r="B12" s="6"/>
      <c r="K12" s="6"/>
    </row>
    <row r="13" customFormat="false" ht="21.75" hidden="false" customHeight="true" outlineLevel="0" collapsed="false">
      <c r="B13" s="575" t="s">
        <v>4091</v>
      </c>
      <c r="C13" s="575"/>
      <c r="D13" s="575"/>
      <c r="E13" s="575"/>
      <c r="F13" s="575"/>
      <c r="G13" s="575"/>
      <c r="H13" s="575"/>
      <c r="I13" s="575"/>
      <c r="J13" s="575"/>
      <c r="K13" s="575"/>
    </row>
    <row r="14" customFormat="false" ht="15" hidden="false" customHeight="true" outlineLevel="0" collapsed="false">
      <c r="B14" s="81" t="s">
        <v>4092</v>
      </c>
      <c r="C14" s="1057" t="n">
        <f aca="false">-'Gaming · 8-Year'!C17</f>
        <v>-449591.22126675</v>
      </c>
      <c r="D14" s="1057" t="n">
        <f aca="false">-'Gaming · 8-Year'!D17</f>
        <v>-472297.268234501</v>
      </c>
      <c r="E14" s="1057" t="n">
        <f aca="false">-'Gaming · 8-Year'!E17</f>
        <v>-495961.045921177</v>
      </c>
      <c r="F14" s="1057" t="n">
        <f aca="false">-'Gaming · 8-Year'!F17</f>
        <v>-510839.877298813</v>
      </c>
      <c r="G14" s="1057" t="n">
        <f aca="false">-'Gaming · 8-Year'!G17</f>
        <v>-536238.170209473</v>
      </c>
      <c r="H14" s="1057" t="n">
        <f aca="false">-'Gaming · 8-Year'!H17</f>
        <v>-558550.489009425</v>
      </c>
      <c r="I14" s="1057" t="n">
        <f aca="false">-'Gaming · 8-Year'!I17</f>
        <v>-579581.622949359</v>
      </c>
      <c r="J14" s="1057" t="n">
        <f aca="false">-'Gaming · 8-Year'!J17</f>
        <v>-596969.07163784</v>
      </c>
      <c r="K14" s="1067" t="n">
        <f aca="false">SUM(C14:J14)</f>
        <v>-4200028.76652734</v>
      </c>
    </row>
    <row r="15" customFormat="false" ht="15" hidden="false" customHeight="true" outlineLevel="0" collapsed="false">
      <c r="B15" s="6"/>
      <c r="K15" s="6"/>
    </row>
    <row r="16" customFormat="false" ht="21.75" hidden="false" customHeight="true" outlineLevel="0" collapsed="false">
      <c r="B16" s="72" t="s">
        <v>4093</v>
      </c>
      <c r="C16" s="72"/>
      <c r="D16" s="72"/>
      <c r="E16" s="72"/>
      <c r="F16" s="72"/>
      <c r="G16" s="72"/>
      <c r="H16" s="72"/>
      <c r="I16" s="72"/>
      <c r="J16" s="72"/>
      <c r="K16" s="72"/>
    </row>
    <row r="17" customFormat="false" ht="27.75" hidden="false" customHeight="true" outlineLevel="0" collapsed="false">
      <c r="B17" s="1028" t="s">
        <v>4094</v>
      </c>
      <c r="C17" s="841" t="n">
        <f aca="false">C11+C14</f>
        <v>451307.29373325</v>
      </c>
      <c r="D17" s="841" t="n">
        <f aca="false">D11+D14</f>
        <v>507179.617240499</v>
      </c>
      <c r="E17" s="841" t="n">
        <f aca="false">E11+E14</f>
        <v>565998.103593823</v>
      </c>
      <c r="F17" s="841" t="n">
        <f aca="false">F11+F14</f>
        <v>582978.046701637</v>
      </c>
      <c r="G17" s="841" t="n">
        <f aca="false">G11+G14</f>
        <v>646725.914597014</v>
      </c>
      <c r="H17" s="841" t="n">
        <f aca="false">H11+H14</f>
        <v>694715.461408419</v>
      </c>
      <c r="I17" s="841" t="n">
        <f aca="false">I11+I14</f>
        <v>735187.193553805</v>
      </c>
      <c r="J17" s="841" t="n">
        <f aca="false">J11+J14</f>
        <v>757242.809360419</v>
      </c>
      <c r="K17" s="899" t="n">
        <f aca="false">SUM(C17:J17)</f>
        <v>4941334.44018887</v>
      </c>
    </row>
    <row r="18" customFormat="false" ht="15" hidden="false" customHeight="true" outlineLevel="0" collapsed="false">
      <c r="B18" s="128" t="s">
        <v>4095</v>
      </c>
      <c r="C18" s="969" t="n">
        <f aca="false">C17/C11</f>
        <v>0.500952422741256</v>
      </c>
      <c r="D18" s="969" t="n">
        <f aca="false">D17/D11</f>
        <v>0.517806621842373</v>
      </c>
      <c r="E18" s="969" t="n">
        <f aca="false">E17/E11</f>
        <v>0.532975401033378</v>
      </c>
      <c r="F18" s="969" t="n">
        <f aca="false">F17/F11</f>
        <v>0.532975401033378</v>
      </c>
      <c r="G18" s="969" t="n">
        <f aca="false">G17/G11</f>
        <v>0.546699534587145</v>
      </c>
      <c r="H18" s="969" t="n">
        <f aca="false">H17/H11</f>
        <v>0.554324053228127</v>
      </c>
      <c r="I18" s="969" t="n">
        <f aca="false">I17/I11</f>
        <v>0.559176019636024</v>
      </c>
      <c r="J18" s="969" t="n">
        <f aca="false">J17/J11</f>
        <v>0.559176019636024</v>
      </c>
      <c r="K18" s="6"/>
    </row>
    <row r="19" customFormat="false" ht="15" hidden="false" customHeight="true" outlineLevel="0" collapsed="false">
      <c r="B19" s="6"/>
      <c r="K19" s="6"/>
    </row>
    <row r="20" customFormat="false" ht="15" hidden="false" customHeight="true" outlineLevel="0" collapsed="false">
      <c r="B20" s="128" t="s">
        <v>4096</v>
      </c>
      <c r="D20" s="969" t="n">
        <f aca="false">D11/C11-1</f>
        <v>0.0872222222222221</v>
      </c>
      <c r="E20" s="969" t="n">
        <f aca="false">E11/D11-1</f>
        <v>0.0842105263157895</v>
      </c>
      <c r="F20" s="969" t="n">
        <f aca="false">F11/E11-1</f>
        <v>0.03</v>
      </c>
      <c r="G20" s="969" t="n">
        <f aca="false">G11/F11-1</f>
        <v>0.0815000000000004</v>
      </c>
      <c r="H20" s="969" t="n">
        <f aca="false">H11/G11-1</f>
        <v>0.0594285714285714</v>
      </c>
      <c r="I20" s="969" t="n">
        <f aca="false">I11/H11-1</f>
        <v>0.0490740740740741</v>
      </c>
      <c r="J20" s="969" t="n">
        <f aca="false">J11/I11-1</f>
        <v>0.03</v>
      </c>
      <c r="K20" s="6"/>
    </row>
    <row r="21" customFormat="false" ht="15" hidden="false" customHeight="true" outlineLevel="0" collapsed="false">
      <c r="B21" s="6"/>
      <c r="K21" s="6"/>
    </row>
    <row r="22" customFormat="false" ht="15" hidden="false" customHeight="true" outlineLevel="0" collapsed="false">
      <c r="B22" s="6"/>
      <c r="K22" s="6"/>
    </row>
    <row r="23" customFormat="false" ht="21.75" hidden="false" customHeight="true" outlineLevel="0" collapsed="false">
      <c r="B23" s="575" t="s">
        <v>4097</v>
      </c>
      <c r="C23" s="575"/>
      <c r="D23" s="575"/>
      <c r="E23" s="575"/>
      <c r="F23" s="575"/>
      <c r="G23" s="575"/>
      <c r="H23" s="575"/>
      <c r="I23" s="575"/>
      <c r="J23" s="575"/>
      <c r="K23" s="575"/>
    </row>
    <row r="24" customFormat="false" ht="15" hidden="false" customHeight="true" outlineLevel="0" collapsed="false">
      <c r="B24" s="880" t="s">
        <v>206</v>
      </c>
      <c r="C24" s="881" t="s">
        <v>393</v>
      </c>
      <c r="D24" s="881" t="s">
        <v>86</v>
      </c>
      <c r="E24" s="881"/>
      <c r="F24" s="881"/>
      <c r="G24" s="881"/>
      <c r="H24" s="881"/>
      <c r="I24" s="881"/>
      <c r="J24" s="881"/>
      <c r="K24" s="881"/>
    </row>
    <row r="25" customFormat="false" ht="15" hidden="false" customHeight="true" outlineLevel="0" collapsed="false">
      <c r="B25" s="81" t="s">
        <v>3457</v>
      </c>
      <c r="C25" s="1065" t="n">
        <f aca="false">C11</f>
        <v>900898.515</v>
      </c>
      <c r="D25" s="1043" t="s">
        <v>4098</v>
      </c>
      <c r="E25" s="1043"/>
      <c r="F25" s="1043"/>
      <c r="G25" s="1043"/>
      <c r="H25" s="1043"/>
      <c r="I25" s="1043"/>
      <c r="J25" s="1043"/>
      <c r="K25" s="1043"/>
    </row>
    <row r="26" customFormat="false" ht="15" hidden="false" customHeight="true" outlineLevel="0" collapsed="false">
      <c r="B26" s="81" t="s">
        <v>3458</v>
      </c>
      <c r="C26" s="1065" t="n">
        <f aca="false">F11</f>
        <v>1093817.92400045</v>
      </c>
      <c r="D26" s="1043" t="s">
        <v>4099</v>
      </c>
      <c r="E26" s="1043"/>
      <c r="F26" s="1043"/>
      <c r="G26" s="1043"/>
      <c r="H26" s="1043"/>
      <c r="I26" s="1043"/>
      <c r="J26" s="1043"/>
      <c r="K26" s="1043"/>
    </row>
    <row r="27" customFormat="false" ht="15" hidden="false" customHeight="true" outlineLevel="0" collapsed="false">
      <c r="B27" s="81" t="s">
        <v>4100</v>
      </c>
      <c r="C27" s="1065" t="n">
        <f aca="false">J11</f>
        <v>1354211.88099826</v>
      </c>
      <c r="D27" s="1043" t="s">
        <v>4101</v>
      </c>
      <c r="E27" s="1043"/>
      <c r="F27" s="1043"/>
      <c r="G27" s="1043"/>
      <c r="H27" s="1043"/>
      <c r="I27" s="1043"/>
      <c r="J27" s="1043"/>
      <c r="K27" s="1043"/>
    </row>
    <row r="28" customFormat="false" ht="15" hidden="false" customHeight="true" outlineLevel="0" collapsed="false">
      <c r="B28" s="81" t="s">
        <v>3460</v>
      </c>
      <c r="C28" s="1065" t="n">
        <f aca="false">K11</f>
        <v>9141363.2067162</v>
      </c>
      <c r="D28" s="1043" t="s">
        <v>4102</v>
      </c>
      <c r="E28" s="1043"/>
      <c r="F28" s="1043"/>
      <c r="G28" s="1043"/>
      <c r="H28" s="1043"/>
      <c r="I28" s="1043"/>
      <c r="J28" s="1043"/>
      <c r="K28" s="1043"/>
    </row>
    <row r="29" customFormat="false" ht="15" hidden="false" customHeight="true" outlineLevel="0" collapsed="false">
      <c r="B29" s="81" t="s">
        <v>3461</v>
      </c>
      <c r="C29" s="1065" t="n">
        <f aca="false">K17</f>
        <v>4941334.44018887</v>
      </c>
      <c r="D29" s="1043" t="s">
        <v>4103</v>
      </c>
      <c r="E29" s="1043"/>
      <c r="F29" s="1043"/>
      <c r="G29" s="1043"/>
      <c r="H29" s="1043"/>
      <c r="I29" s="1043"/>
      <c r="J29" s="1043"/>
      <c r="K29" s="1043"/>
    </row>
    <row r="30" customFormat="false" ht="15" hidden="false" customHeight="true" outlineLevel="0" collapsed="false">
      <c r="B30" s="81" t="s">
        <v>4104</v>
      </c>
      <c r="C30" s="1068" t="n">
        <f aca="false">K17/K11</f>
        <v>0.540546779342324</v>
      </c>
      <c r="D30" s="1043" t="s">
        <v>4105</v>
      </c>
      <c r="E30" s="1043"/>
      <c r="F30" s="1043"/>
      <c r="G30" s="1043"/>
      <c r="H30" s="1043"/>
      <c r="I30" s="1043"/>
      <c r="J30" s="1043"/>
      <c r="K30" s="1043"/>
    </row>
    <row r="31" customFormat="false" ht="15" hidden="false" customHeight="true" outlineLevel="0" collapsed="false">
      <c r="B31" s="81" t="s">
        <v>4106</v>
      </c>
      <c r="C31" s="1068" t="n">
        <f aca="false">(J11/C11)^(1/7)-1</f>
        <v>0.0599545654797864</v>
      </c>
      <c r="D31" s="1043" t="s">
        <v>4107</v>
      </c>
      <c r="E31" s="1043"/>
      <c r="F31" s="1043"/>
      <c r="G31" s="1043"/>
      <c r="H31" s="1043"/>
      <c r="I31" s="1043"/>
      <c r="J31" s="1043"/>
      <c r="K31" s="1043"/>
    </row>
    <row r="32" customFormat="false" ht="15" hidden="false" customHeight="true" outlineLevel="0" collapsed="false">
      <c r="B32" s="6"/>
      <c r="K32" s="6"/>
    </row>
    <row r="33" customFormat="false" ht="15" hidden="false" customHeight="true" outlineLevel="0" collapsed="false">
      <c r="B33" s="6"/>
      <c r="K33" s="6"/>
    </row>
    <row r="34" customFormat="false" ht="15" hidden="false" customHeight="true" outlineLevel="0" collapsed="false">
      <c r="B34" s="6"/>
      <c r="K34" s="6"/>
    </row>
    <row r="35" customFormat="false" ht="15" hidden="false" customHeight="true" outlineLevel="0" collapsed="false">
      <c r="B35" s="6"/>
      <c r="K35" s="6"/>
    </row>
    <row r="36" customFormat="false" ht="15" hidden="false" customHeight="true" outlineLevel="0" collapsed="false">
      <c r="B36" s="6"/>
      <c r="F36" s="1069" t="s">
        <v>4108</v>
      </c>
      <c r="K36" s="6"/>
    </row>
  </sheetData>
  <mergeCells count="15">
    <mergeCell ref="B2:H2"/>
    <mergeCell ref="I2:L2"/>
    <mergeCell ref="B3:L3"/>
    <mergeCell ref="B6:K6"/>
    <mergeCell ref="B13:K13"/>
    <mergeCell ref="B16:K16"/>
    <mergeCell ref="B23:K23"/>
    <mergeCell ref="D24:K24"/>
    <mergeCell ref="D25:K25"/>
    <mergeCell ref="D26:K26"/>
    <mergeCell ref="D27:K27"/>
    <mergeCell ref="D28:K28"/>
    <mergeCell ref="D29:K29"/>
    <mergeCell ref="D30:K30"/>
    <mergeCell ref="D31:K3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 collapsed="false" customWidth="true" hidden="false" outlineLevel="0" max="12" min="12" style="0" width="9"/>
  </cols>
  <sheetData>
    <row r="1" customFormat="false" ht="3.75" hidden="false" customHeight="true" outlineLevel="0" collapsed="false">
      <c r="B1" s="876"/>
      <c r="C1" s="877"/>
      <c r="D1" s="877"/>
      <c r="E1" s="877"/>
      <c r="F1" s="877"/>
      <c r="G1" s="877"/>
      <c r="H1" s="877"/>
      <c r="I1" s="877"/>
      <c r="J1" s="877"/>
      <c r="K1" s="876"/>
      <c r="L1" s="877"/>
    </row>
    <row r="2" customFormat="false" ht="27.75" hidden="false" customHeight="true" outlineLevel="0" collapsed="false">
      <c r="B2" s="917" t="s">
        <v>4109</v>
      </c>
      <c r="C2" s="917"/>
      <c r="D2" s="917"/>
      <c r="E2" s="917"/>
      <c r="F2" s="917"/>
      <c r="G2" s="917"/>
      <c r="H2" s="917"/>
      <c r="I2" s="89" t="s">
        <v>3432</v>
      </c>
      <c r="J2" s="89"/>
      <c r="K2" s="89"/>
      <c r="L2" s="89"/>
    </row>
    <row r="3" customFormat="false" ht="18" hidden="false" customHeight="true" outlineLevel="0" collapsed="false">
      <c r="B3" s="90" t="s">
        <v>4110</v>
      </c>
      <c r="C3" s="90"/>
      <c r="D3" s="90"/>
      <c r="E3" s="90"/>
      <c r="F3" s="90"/>
      <c r="G3" s="90"/>
      <c r="H3" s="90"/>
      <c r="I3" s="90"/>
      <c r="J3" s="90"/>
      <c r="K3" s="90"/>
      <c r="L3" s="90"/>
    </row>
    <row r="4" customFormat="false" ht="15" hidden="false" customHeight="true" outlineLevel="0" collapsed="false">
      <c r="B4" s="6"/>
      <c r="K4" s="6"/>
    </row>
    <row r="5" customFormat="false" ht="27.75" hidden="false" customHeight="true" outlineLevel="0" collapsed="false">
      <c r="B5" s="880" t="s">
        <v>1141</v>
      </c>
      <c r="C5" s="881" t="s">
        <v>760</v>
      </c>
      <c r="D5" s="881" t="s">
        <v>908</v>
      </c>
      <c r="E5" s="881" t="s">
        <v>765</v>
      </c>
      <c r="F5" s="881" t="s">
        <v>770</v>
      </c>
      <c r="G5" s="881" t="s">
        <v>909</v>
      </c>
      <c r="H5" s="881" t="s">
        <v>910</v>
      </c>
      <c r="I5" s="881" t="s">
        <v>911</v>
      </c>
      <c r="J5" s="881" t="s">
        <v>912</v>
      </c>
      <c r="K5" s="880" t="s">
        <v>4088</v>
      </c>
    </row>
    <row r="6" customFormat="false" ht="21.75" hidden="false" customHeight="true" outlineLevel="0" collapsed="false">
      <c r="B6" s="96" t="s">
        <v>4111</v>
      </c>
      <c r="C6" s="96"/>
      <c r="D6" s="96"/>
      <c r="E6" s="96"/>
      <c r="F6" s="96"/>
      <c r="G6" s="96"/>
      <c r="H6" s="96"/>
      <c r="I6" s="96"/>
      <c r="J6" s="96"/>
      <c r="K6" s="96"/>
    </row>
    <row r="7" customFormat="false" ht="15" hidden="false" customHeight="true" outlineLevel="0" collapsed="false">
      <c r="B7" s="592" t="s">
        <v>903</v>
      </c>
      <c r="C7" s="1055" t="n">
        <f aca="false">'Gaming · 8-Year'!C11</f>
        <v>900898.515</v>
      </c>
      <c r="D7" s="1055" t="n">
        <f aca="false">'Gaming · 8-Year'!D11</f>
        <v>979476.885475</v>
      </c>
      <c r="E7" s="1055" t="n">
        <f aca="false">'Gaming · 8-Year'!E11</f>
        <v>1061959.149515</v>
      </c>
      <c r="F7" s="1055" t="n">
        <f aca="false">'Gaming · 8-Year'!F11</f>
        <v>1093817.92400045</v>
      </c>
      <c r="G7" s="1055" t="n">
        <f aca="false">'Gaming · 8-Year'!G11</f>
        <v>1182964.08480649</v>
      </c>
      <c r="H7" s="1055" t="n">
        <f aca="false">'Gaming · 8-Year'!H11</f>
        <v>1253265.95041784</v>
      </c>
      <c r="I7" s="1055" t="n">
        <f aca="false">'Gaming · 8-Year'!I11</f>
        <v>1314768.81650316</v>
      </c>
      <c r="J7" s="1055" t="n">
        <f aca="false">'Gaming · 8-Year'!J11</f>
        <v>1354211.88099826</v>
      </c>
      <c r="K7" s="1070" t="n">
        <f aca="false">SUM(C7:J7)</f>
        <v>9141363.2067162</v>
      </c>
    </row>
    <row r="8" customFormat="false" ht="15" hidden="false" customHeight="true" outlineLevel="0" collapsed="false">
      <c r="B8" s="592" t="s">
        <v>4112</v>
      </c>
      <c r="C8" s="1055" t="n">
        <f aca="false">'Gaming · 8-Year'!C20</f>
        <v>451307.29373325</v>
      </c>
      <c r="D8" s="1055" t="n">
        <f aca="false">'Gaming · 8-Year'!D20</f>
        <v>507179.617240499</v>
      </c>
      <c r="E8" s="1055" t="n">
        <f aca="false">'Gaming · 8-Year'!E20</f>
        <v>565998.103593823</v>
      </c>
      <c r="F8" s="1055" t="n">
        <f aca="false">'Gaming · 8-Year'!F20</f>
        <v>582978.046701637</v>
      </c>
      <c r="G8" s="1055" t="n">
        <f aca="false">'Gaming · 8-Year'!G20</f>
        <v>646725.914597014</v>
      </c>
      <c r="H8" s="1055" t="n">
        <f aca="false">'Gaming · 8-Year'!H20</f>
        <v>694715.461408419</v>
      </c>
      <c r="I8" s="1055" t="n">
        <f aca="false">'Gaming · 8-Year'!I20</f>
        <v>735187.193553805</v>
      </c>
      <c r="J8" s="1055" t="n">
        <f aca="false">'Gaming · 8-Year'!J20</f>
        <v>757242.809360419</v>
      </c>
      <c r="K8" s="1070" t="n">
        <f aca="false">SUM(C8:J8)</f>
        <v>4941334.44018887</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071" t="n">
        <f aca="false">'Gaming · Drivers'!C222</f>
        <v>0.02</v>
      </c>
      <c r="K11" s="6"/>
    </row>
    <row r="12" customFormat="false" ht="15" hidden="false" customHeight="true" outlineLevel="0" collapsed="false">
      <c r="B12" s="113" t="s">
        <v>3766</v>
      </c>
      <c r="C12" s="1072" t="n">
        <f aca="false">'Gaming · Drivers'!C223</f>
        <v>7</v>
      </c>
      <c r="K12" s="6"/>
    </row>
    <row r="13" customFormat="false" ht="15" hidden="false" customHeight="true" outlineLevel="0" collapsed="false">
      <c r="B13" s="113" t="s">
        <v>3768</v>
      </c>
      <c r="C13" s="1072" t="n">
        <f aca="false">'Gaming · Drivers'!C224</f>
        <v>30</v>
      </c>
      <c r="K13" s="6"/>
    </row>
    <row r="14" customFormat="false" ht="15" hidden="false" customHeight="true" outlineLevel="0" collapsed="false">
      <c r="B14" s="6"/>
      <c r="K14" s="6"/>
    </row>
    <row r="15" customFormat="false" ht="15" hidden="false" customHeight="true" outlineLevel="0" collapsed="false">
      <c r="B15" s="128" t="s">
        <v>4114</v>
      </c>
      <c r="C15" s="1055" t="n">
        <f aca="false">C7*$C$11</f>
        <v>18017.9703</v>
      </c>
      <c r="D15" s="1055" t="n">
        <f aca="false">D7*$C$11</f>
        <v>19589.5377095</v>
      </c>
      <c r="E15" s="1055" t="n">
        <f aca="false">E7*$C$11</f>
        <v>21239.1829903</v>
      </c>
      <c r="F15" s="1055" t="n">
        <f aca="false">F7*$C$11</f>
        <v>21876.358480009</v>
      </c>
      <c r="G15" s="1055" t="n">
        <f aca="false">G7*$C$11</f>
        <v>23659.2816961297</v>
      </c>
      <c r="H15" s="1055" t="n">
        <f aca="false">H7*$C$11</f>
        <v>25065.3190083569</v>
      </c>
      <c r="I15" s="1055" t="n">
        <f aca="false">I7*$C$11</f>
        <v>26295.3763300633</v>
      </c>
      <c r="J15" s="1055" t="n">
        <f aca="false">J7*$C$11</f>
        <v>27084.2376199652</v>
      </c>
      <c r="K15" s="6"/>
    </row>
    <row r="16" customFormat="false" ht="15" hidden="false" customHeight="true" outlineLevel="0" collapsed="false">
      <c r="B16" s="128" t="s">
        <v>4115</v>
      </c>
      <c r="C16" s="1055" t="n">
        <f aca="false">C7/365*$C$12</f>
        <v>17277.5057671233</v>
      </c>
      <c r="D16" s="1055" t="n">
        <f aca="false">D7/365*$C$12</f>
        <v>18784.488214589</v>
      </c>
      <c r="E16" s="1055" t="n">
        <f aca="false">E7/365*$C$12</f>
        <v>20366.3398537123</v>
      </c>
      <c r="F16" s="1055" t="n">
        <f aca="false">F7/365*$C$12</f>
        <v>20977.3300493237</v>
      </c>
      <c r="G16" s="1055" t="n">
        <f aca="false">G7/365*$C$12</f>
        <v>22686.9824483436</v>
      </c>
      <c r="H16" s="1055" t="n">
        <f aca="false">H7/365*$C$12</f>
        <v>24035.2374052737</v>
      </c>
      <c r="I16" s="1055" t="n">
        <f aca="false">I7/365*$C$12</f>
        <v>25214.7444260881</v>
      </c>
      <c r="J16" s="1055" t="n">
        <f aca="false">J7/365*$C$12</f>
        <v>25971.1867588707</v>
      </c>
      <c r="K16" s="6"/>
    </row>
    <row r="17" customFormat="false" ht="15" hidden="false" customHeight="true" outlineLevel="0" collapsed="false">
      <c r="B17" s="128" t="s">
        <v>4116</v>
      </c>
      <c r="C17" s="1055" t="n">
        <f aca="false">C7*('Gaming · Costs'!C29/'Gaming · Revenue'!D58)/365*$C$13</f>
        <v>34581.5151515753</v>
      </c>
      <c r="D17" s="1055" t="n">
        <f aca="false">D7*('Gaming · Costs'!C29/'Gaming · Revenue'!D58)/365*$C$13</f>
        <v>37597.7917509072</v>
      </c>
      <c r="E17" s="1055" t="n">
        <f aca="false">E7*('Gaming · Costs'!C29/'Gaming · Revenue'!D58)/365*$C$13</f>
        <v>40763.9215825625</v>
      </c>
      <c r="F17" s="1055" t="n">
        <f aca="false">F7*('Gaming · Costs'!C29/'Gaming · Revenue'!D58)/365*$C$13</f>
        <v>41986.8392300394</v>
      </c>
      <c r="G17" s="1055" t="n">
        <f aca="false">G7*('Gaming · Costs'!C29/'Gaming · Revenue'!D58)/365*$C$13</f>
        <v>45408.7666272876</v>
      </c>
      <c r="H17" s="1055" t="n">
        <f aca="false">H7*('Gaming · Costs'!C29/'Gaming · Revenue'!D58)/365*$C$13</f>
        <v>48107.3447582807</v>
      </c>
      <c r="I17" s="1055" t="n">
        <f aca="false">I7*('Gaming · Costs'!C29/'Gaming · Revenue'!D58)/365*$C$13</f>
        <v>50468.1681584556</v>
      </c>
      <c r="J17" s="1055" t="n">
        <f aca="false">J7*('Gaming · Costs'!C29/'Gaming · Revenue'!D58)/365*$C$13</f>
        <v>51982.2132032093</v>
      </c>
      <c r="K17" s="6"/>
    </row>
    <row r="18" customFormat="false" ht="15" hidden="false" customHeight="true" outlineLevel="0" collapsed="false">
      <c r="B18" s="81" t="s">
        <v>4117</v>
      </c>
      <c r="C18" s="1056" t="n">
        <f aca="false">C15+C16-C17</f>
        <v>713.960915547948</v>
      </c>
      <c r="D18" s="1056" t="n">
        <f aca="false">D15+D16-D17</f>
        <v>776.234173181845</v>
      </c>
      <c r="E18" s="1056" t="n">
        <f aca="false">E15+E16-E17</f>
        <v>841.601261449796</v>
      </c>
      <c r="F18" s="1056" t="n">
        <f aca="false">F15+F16-F17</f>
        <v>866.849299293288</v>
      </c>
      <c r="G18" s="1056" t="n">
        <f aca="false">G15+G16-G17</f>
        <v>937.497517185693</v>
      </c>
      <c r="H18" s="1056" t="n">
        <f aca="false">H15+H16-H17</f>
        <v>993.211655349864</v>
      </c>
      <c r="I18" s="1056" t="n">
        <f aca="false">I15+I16-I17</f>
        <v>1041.95259769574</v>
      </c>
      <c r="J18" s="1056" t="n">
        <f aca="false">J15+J16-J17</f>
        <v>1073.21117562662</v>
      </c>
      <c r="K18" s="6"/>
    </row>
    <row r="19" customFormat="false" ht="15" hidden="false" customHeight="true" outlineLevel="0" collapsed="false">
      <c r="B19" s="1073" t="s">
        <v>4118</v>
      </c>
      <c r="C19" s="1074" t="n">
        <f aca="false">C18</f>
        <v>713.960915547948</v>
      </c>
      <c r="D19" s="1074" t="n">
        <f aca="false">D18-C18</f>
        <v>62.2732576338967</v>
      </c>
      <c r="E19" s="1074" t="n">
        <f aca="false">E18-D18</f>
        <v>65.3670882679508</v>
      </c>
      <c r="F19" s="1074" t="n">
        <f aca="false">F18-E18</f>
        <v>25.2480378434921</v>
      </c>
      <c r="G19" s="1074" t="n">
        <f aca="false">G18-F18</f>
        <v>70.6482178924052</v>
      </c>
      <c r="H19" s="1074" t="n">
        <f aca="false">H18-G18</f>
        <v>55.7141381641704</v>
      </c>
      <c r="I19" s="1074" t="n">
        <f aca="false">I18-H18</f>
        <v>48.7409423458739</v>
      </c>
      <c r="J19" s="1074" t="n">
        <f aca="false">J18-I18</f>
        <v>31.2585779308793</v>
      </c>
      <c r="K19" s="6"/>
    </row>
    <row r="20" customFormat="false" ht="15" hidden="false" customHeight="true" outlineLevel="0" collapsed="false">
      <c r="B20" s="6"/>
      <c r="K20" s="6"/>
    </row>
    <row r="21" customFormat="false" ht="33.75" hidden="false" customHeight="true" outlineLevel="0" collapsed="false">
      <c r="B21" s="96" t="s">
        <v>4119</v>
      </c>
      <c r="C21" s="96"/>
      <c r="D21" s="96"/>
      <c r="E21" s="96"/>
      <c r="F21" s="96"/>
      <c r="G21" s="96"/>
      <c r="H21" s="96"/>
      <c r="I21" s="96"/>
      <c r="J21" s="96"/>
      <c r="K21" s="96"/>
    </row>
    <row r="22" customFormat="false" ht="15" hidden="false" customHeight="true" outlineLevel="0" collapsed="false">
      <c r="B22" s="126" t="s">
        <v>3771</v>
      </c>
      <c r="C22" s="1071" t="n">
        <f aca="false">'Gaming · Drivers'!C227</f>
        <v>0.03</v>
      </c>
      <c r="D22" s="565" t="s">
        <v>4120</v>
      </c>
      <c r="K22" s="6"/>
    </row>
    <row r="23" customFormat="false" ht="15" hidden="false" customHeight="true" outlineLevel="0" collapsed="false">
      <c r="B23" s="128" t="s">
        <v>4121</v>
      </c>
      <c r="C23" s="1055" t="n">
        <f aca="false">C7*$C$22</f>
        <v>27026.95545</v>
      </c>
      <c r="D23" s="1055" t="n">
        <f aca="false">D7*$C$22</f>
        <v>29384.30656425</v>
      </c>
      <c r="E23" s="1055" t="n">
        <f aca="false">E7*$C$22</f>
        <v>31858.77448545</v>
      </c>
      <c r="F23" s="1055" t="n">
        <f aca="false">F7*$C$22</f>
        <v>32814.5377200135</v>
      </c>
      <c r="G23" s="1055" t="n">
        <f aca="false">G7*$C$22</f>
        <v>35488.9225441946</v>
      </c>
      <c r="H23" s="1055" t="n">
        <f aca="false">H7*$C$22</f>
        <v>37597.9785125353</v>
      </c>
      <c r="I23" s="1055" t="n">
        <f aca="false">I7*$C$22</f>
        <v>39443.0644950949</v>
      </c>
      <c r="J23" s="1055" t="n">
        <f aca="false">J7*$C$22</f>
        <v>40626.3564299478</v>
      </c>
      <c r="K23" s="6"/>
    </row>
    <row r="24" customFormat="false" ht="15" hidden="false" customHeight="true" outlineLevel="0" collapsed="false">
      <c r="B24" s="6"/>
      <c r="K24" s="6"/>
    </row>
    <row r="25" customFormat="false" ht="48.75" hidden="false" customHeight="true" outlineLevel="0" collapsed="false">
      <c r="B25" s="1075" t="s">
        <v>4122</v>
      </c>
      <c r="C25" s="1075"/>
      <c r="D25" s="1075"/>
      <c r="E25" s="1075"/>
      <c r="F25" s="1075"/>
      <c r="G25" s="1075"/>
      <c r="H25" s="1075"/>
      <c r="I25" s="1075"/>
      <c r="J25" s="1075"/>
      <c r="K25" s="1075"/>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27.75" hidden="false" customHeight="true" outlineLevel="0" collapsed="false">
      <c r="B28" s="1028" t="s">
        <v>4124</v>
      </c>
      <c r="C28" s="841" t="n">
        <f aca="false">C8-C19-C23</f>
        <v>423566.377367702</v>
      </c>
      <c r="D28" s="841" t="n">
        <f aca="false">D8-D19-D23</f>
        <v>477733.037418615</v>
      </c>
      <c r="E28" s="841" t="n">
        <f aca="false">E8-E19-E23</f>
        <v>534073.962020105</v>
      </c>
      <c r="F28" s="841" t="n">
        <f aca="false">F8-F19-F23</f>
        <v>550138.26094378</v>
      </c>
      <c r="G28" s="841" t="n">
        <f aca="false">G8-G19-G23</f>
        <v>611166.343834927</v>
      </c>
      <c r="H28" s="841" t="n">
        <f aca="false">H8-H19-H23</f>
        <v>657061.76875772</v>
      </c>
      <c r="I28" s="841" t="n">
        <f aca="false">I8-I19-I23</f>
        <v>695695.388116364</v>
      </c>
      <c r="J28" s="841" t="n">
        <f aca="false">J8-J19-J23</f>
        <v>716585.19435254</v>
      </c>
      <c r="K28" s="899" t="n">
        <f aca="false">SUM(C28:J28)</f>
        <v>4666020.33281175</v>
      </c>
    </row>
    <row r="29" customFormat="false" ht="15" hidden="false" customHeight="true" outlineLevel="0" collapsed="false">
      <c r="B29" s="128" t="s">
        <v>4125</v>
      </c>
      <c r="C29" s="969" t="n">
        <f aca="false">C28/C8</f>
        <v>0.938532089441602</v>
      </c>
      <c r="D29" s="969" t="n">
        <f aca="false">D28/D8</f>
        <v>0.941940529901223</v>
      </c>
      <c r="E29" s="969" t="n">
        <f aca="false">E28/E8</f>
        <v>0.94359673403318</v>
      </c>
      <c r="F29" s="969" t="n">
        <f aca="false">F28/F8</f>
        <v>0.943668915247054</v>
      </c>
      <c r="G29" s="969" t="n">
        <f aca="false">G28/G8</f>
        <v>0.945016010709506</v>
      </c>
      <c r="H29" s="969" t="n">
        <f aca="false">H28/H8</f>
        <v>0.945799834979399</v>
      </c>
      <c r="I29" s="969" t="n">
        <f aca="false">I28/I8</f>
        <v>0.946283333301084</v>
      </c>
      <c r="J29" s="969" t="n">
        <f aca="false">J28/J8</f>
        <v>0.946308351158569</v>
      </c>
      <c r="K29" s="6"/>
    </row>
    <row r="30" customFormat="false" ht="15" hidden="false" customHeight="true" outlineLevel="0" collapsed="false">
      <c r="B30" s="6"/>
      <c r="K30" s="6"/>
    </row>
    <row r="31" customFormat="false" ht="15" hidden="false" customHeight="true" outlineLevel="0" collapsed="false">
      <c r="B31" s="81" t="s">
        <v>4126</v>
      </c>
      <c r="C31" s="1026" t="n">
        <f aca="false">C28</f>
        <v>423566.377367702</v>
      </c>
      <c r="D31" s="1026" t="n">
        <f aca="false">C31+D28</f>
        <v>901299.414786317</v>
      </c>
      <c r="E31" s="1026" t="n">
        <f aca="false">D31+E28</f>
        <v>1435373.37680642</v>
      </c>
      <c r="F31" s="1026" t="n">
        <f aca="false">E31+F28</f>
        <v>1985511.6377502</v>
      </c>
      <c r="G31" s="1026" t="n">
        <f aca="false">F31+G28</f>
        <v>2596677.98158513</v>
      </c>
      <c r="H31" s="1026" t="n">
        <f aca="false">G31+H28</f>
        <v>3253739.75034285</v>
      </c>
      <c r="I31" s="1026" t="n">
        <f aca="false">H31+I28</f>
        <v>3949435.13845921</v>
      </c>
      <c r="J31" s="1026" t="n">
        <f aca="false">I31+J28</f>
        <v>4666020.33281175</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15" hidden="false" customHeight="true" outlineLevel="0" collapsed="false">
      <c r="B35" s="880" t="s">
        <v>206</v>
      </c>
      <c r="C35" s="881" t="s">
        <v>393</v>
      </c>
      <c r="D35" s="881" t="s">
        <v>225</v>
      </c>
      <c r="E35" s="881"/>
      <c r="F35" s="881"/>
      <c r="G35" s="881"/>
      <c r="H35" s="881"/>
      <c r="I35" s="881"/>
      <c r="J35" s="881"/>
      <c r="K35" s="881"/>
    </row>
    <row r="36" customFormat="false" ht="15" hidden="false" customHeight="true" outlineLevel="0" collapsed="false">
      <c r="B36" s="81" t="s">
        <v>4128</v>
      </c>
      <c r="C36" s="1065" t="n">
        <f aca="false">C28</f>
        <v>423566.377367702</v>
      </c>
      <c r="D36" s="742" t="s">
        <v>4129</v>
      </c>
      <c r="E36" s="742"/>
      <c r="F36" s="742"/>
      <c r="G36" s="742"/>
      <c r="H36" s="742"/>
      <c r="I36" s="742"/>
      <c r="J36" s="742"/>
      <c r="K36" s="742"/>
    </row>
    <row r="37" customFormat="false" ht="15" hidden="false" customHeight="true" outlineLevel="0" collapsed="false">
      <c r="B37" s="81" t="s">
        <v>4130</v>
      </c>
      <c r="C37" s="1065" t="n">
        <f aca="false">F28</f>
        <v>550138.26094378</v>
      </c>
      <c r="D37" s="742" t="s">
        <v>4131</v>
      </c>
      <c r="E37" s="742"/>
      <c r="F37" s="742"/>
      <c r="G37" s="742"/>
      <c r="H37" s="742"/>
      <c r="I37" s="742"/>
      <c r="J37" s="742"/>
      <c r="K37" s="742"/>
    </row>
    <row r="38" customFormat="false" ht="15" hidden="false" customHeight="true" outlineLevel="0" collapsed="false">
      <c r="B38" s="905" t="s">
        <v>4132</v>
      </c>
      <c r="C38" s="885" t="n">
        <f aca="false">K28</f>
        <v>4666020.33281175</v>
      </c>
      <c r="D38" s="742" t="s">
        <v>4133</v>
      </c>
      <c r="E38" s="742"/>
      <c r="F38" s="742"/>
      <c r="G38" s="742"/>
      <c r="H38" s="742"/>
      <c r="I38" s="742"/>
      <c r="J38" s="742"/>
      <c r="K38" s="742"/>
    </row>
    <row r="39" customFormat="false" ht="15" hidden="false" customHeight="true" outlineLevel="0" collapsed="false">
      <c r="B39" s="113" t="s">
        <v>4134</v>
      </c>
      <c r="C39" s="1062" t="n">
        <f aca="false">K28/K8</f>
        <v>0.944283450005341</v>
      </c>
      <c r="D39" s="742" t="s">
        <v>4135</v>
      </c>
      <c r="E39" s="742"/>
      <c r="F39" s="742"/>
      <c r="G39" s="742"/>
      <c r="H39" s="742"/>
      <c r="I39" s="742"/>
      <c r="J39" s="742"/>
      <c r="K39" s="742"/>
    </row>
  </sheetData>
  <mergeCells count="14">
    <mergeCell ref="B2:H2"/>
    <mergeCell ref="I2:L2"/>
    <mergeCell ref="B3:L3"/>
    <mergeCell ref="B6:K6"/>
    <mergeCell ref="B10:K10"/>
    <mergeCell ref="B21:K21"/>
    <mergeCell ref="B25:K25"/>
    <mergeCell ref="B27:K27"/>
    <mergeCell ref="B34:K34"/>
    <mergeCell ref="D35:K35"/>
    <mergeCell ref="D36:K36"/>
    <mergeCell ref="D37:K37"/>
    <mergeCell ref="D38:K38"/>
    <mergeCell ref="D39:K39"/>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6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3"/>
    <col collapsed="false" customWidth="true" hidden="false" outlineLevel="0" max="8" min="7" style="0" width="9"/>
    <col collapsed="false" customWidth="true" hidden="false" outlineLevel="0" max="9" min="9" style="0" width="22"/>
    <col collapsed="false" customWidth="true" hidden="false" outlineLevel="0" max="12" min="10" style="0" width="9"/>
  </cols>
  <sheetData>
    <row r="1" customFormat="false" ht="3.75" hidden="false" customHeight="true" outlineLevel="0" collapsed="false">
      <c r="B1" s="876"/>
      <c r="C1" s="877"/>
      <c r="D1" s="877"/>
      <c r="E1" s="876"/>
      <c r="F1" s="877"/>
      <c r="G1" s="877"/>
      <c r="H1" s="877"/>
      <c r="I1" s="877"/>
      <c r="J1" s="877"/>
      <c r="K1" s="877"/>
      <c r="L1" s="877"/>
    </row>
    <row r="2" customFormat="false" ht="27.75" hidden="false" customHeight="true" outlineLevel="0" collapsed="false">
      <c r="B2" s="917" t="s">
        <v>4136</v>
      </c>
      <c r="C2" s="917"/>
      <c r="D2" s="917"/>
      <c r="E2" s="917"/>
      <c r="F2" s="917"/>
      <c r="G2" s="917"/>
      <c r="H2" s="917"/>
      <c r="I2" s="89" t="s">
        <v>3432</v>
      </c>
      <c r="J2" s="89"/>
      <c r="K2" s="89"/>
      <c r="L2" s="89"/>
    </row>
    <row r="3" customFormat="false" ht="18" hidden="false" customHeight="true" outlineLevel="0" collapsed="false">
      <c r="B3" s="90" t="s">
        <v>4137</v>
      </c>
      <c r="C3" s="90"/>
      <c r="D3" s="90"/>
      <c r="E3" s="90"/>
      <c r="F3" s="90"/>
      <c r="G3" s="90"/>
      <c r="H3" s="90"/>
      <c r="I3" s="90"/>
      <c r="J3" s="90"/>
      <c r="K3" s="90"/>
      <c r="L3" s="90"/>
    </row>
    <row r="4" customFormat="false" ht="15" hidden="false" customHeight="true" outlineLevel="0" collapsed="false">
      <c r="B4" s="6"/>
      <c r="E4" s="6"/>
      <c r="I4" s="1008"/>
    </row>
    <row r="5" customFormat="false" ht="21.75" hidden="false" customHeight="true" outlineLevel="0" collapsed="false">
      <c r="B5" s="96" t="s">
        <v>4138</v>
      </c>
      <c r="C5" s="96"/>
      <c r="D5" s="96"/>
      <c r="E5" s="96"/>
      <c r="F5" s="96"/>
      <c r="I5" s="1008" t="s">
        <v>4139</v>
      </c>
    </row>
    <row r="6" customFormat="false" ht="27.75" hidden="false" customHeight="true" outlineLevel="0" collapsed="false">
      <c r="B6" s="880" t="s">
        <v>206</v>
      </c>
      <c r="C6" s="881" t="s">
        <v>393</v>
      </c>
      <c r="D6" s="881" t="s">
        <v>4140</v>
      </c>
      <c r="E6" s="880" t="s">
        <v>4141</v>
      </c>
      <c r="F6" s="881" t="s">
        <v>778</v>
      </c>
      <c r="I6" s="1008" t="s">
        <v>4142</v>
      </c>
    </row>
    <row r="7" customFormat="false" ht="15" hidden="false" customHeight="true" outlineLevel="0" collapsed="false">
      <c r="B7" s="1076" t="s">
        <v>4143</v>
      </c>
      <c r="C7" s="1077" t="n">
        <f aca="false">'Gaming · Revenue'!D58/('Gaming · Drivers'!C15*52)</f>
        <v>17.9069472271914</v>
      </c>
      <c r="D7" s="1078" t="s">
        <v>4144</v>
      </c>
      <c r="E7" s="1079" t="n">
        <f aca="false">C7/12-1</f>
        <v>0.492245602265951</v>
      </c>
      <c r="F7" s="565" t="s">
        <v>4145</v>
      </c>
      <c r="I7" s="965" t="s">
        <v>4146</v>
      </c>
    </row>
    <row r="8" customFormat="false" ht="15" hidden="false" customHeight="true" outlineLevel="0" collapsed="false">
      <c r="B8" s="1076" t="s">
        <v>4147</v>
      </c>
      <c r="C8" s="1080" t="n">
        <f aca="false">'Gaming · Costs'!C35/('Gaming · Drivers'!C15*52)</f>
        <v>9.54396237969588</v>
      </c>
      <c r="D8" s="1078" t="s">
        <v>4148</v>
      </c>
      <c r="E8" s="1079" t="n">
        <f aca="false">C8/6.5-1</f>
        <v>0.468301904568598</v>
      </c>
      <c r="F8" s="565" t="s">
        <v>4149</v>
      </c>
      <c r="I8" s="1008" t="s">
        <v>4150</v>
      </c>
    </row>
    <row r="9" customFormat="false" ht="15" hidden="false" customHeight="true" outlineLevel="0" collapsed="false">
      <c r="B9" s="81" t="s">
        <v>4151</v>
      </c>
      <c r="C9" s="1062" t="n">
        <f aca="false">C8/C7</f>
        <v>0.532975401033378</v>
      </c>
      <c r="D9" s="1078" t="s">
        <v>4152</v>
      </c>
      <c r="E9" s="6"/>
      <c r="F9" s="565" t="s">
        <v>4153</v>
      </c>
      <c r="I9" s="1008" t="s">
        <v>4154</v>
      </c>
    </row>
    <row r="10" customFormat="false" ht="15" hidden="false" customHeight="true" outlineLevel="0" collapsed="false">
      <c r="B10" s="592" t="s">
        <v>4155</v>
      </c>
      <c r="C10" s="947" t="n">
        <f aca="false">C7-C8</f>
        <v>8.36298484749553</v>
      </c>
      <c r="D10" s="1078" t="s">
        <v>4156</v>
      </c>
      <c r="E10" s="6"/>
      <c r="F10" s="565" t="s">
        <v>4157</v>
      </c>
      <c r="I10" s="1008"/>
    </row>
    <row r="11" customFormat="false" ht="15" hidden="false" customHeight="true" outlineLevel="0" collapsed="false">
      <c r="B11" s="6"/>
      <c r="E11" s="6"/>
      <c r="I11" s="1008" t="s">
        <v>4158</v>
      </c>
    </row>
    <row r="12" customFormat="false" ht="15" hidden="false" customHeight="true" outlineLevel="0" collapsed="false">
      <c r="B12" s="6"/>
      <c r="E12" s="6"/>
      <c r="I12" s="1008" t="s">
        <v>4159</v>
      </c>
    </row>
    <row r="13" customFormat="false" ht="21.75" hidden="false" customHeight="true" outlineLevel="0" collapsed="false">
      <c r="B13" s="72" t="s">
        <v>4160</v>
      </c>
      <c r="C13" s="72"/>
      <c r="D13" s="72"/>
      <c r="E13" s="72"/>
      <c r="F13" s="72"/>
      <c r="I13" s="1008"/>
    </row>
    <row r="14" customFormat="false" ht="15" hidden="false" customHeight="true" outlineLevel="0" collapsed="false">
      <c r="B14" s="880" t="s">
        <v>3445</v>
      </c>
      <c r="C14" s="881" t="s">
        <v>4161</v>
      </c>
      <c r="D14" s="881" t="s">
        <v>4162</v>
      </c>
      <c r="E14" s="880" t="s">
        <v>4163</v>
      </c>
      <c r="F14" s="881" t="s">
        <v>778</v>
      </c>
      <c r="I14" s="1008" t="s">
        <v>4164</v>
      </c>
    </row>
    <row r="15" customFormat="false" ht="15" hidden="false" customHeight="true" outlineLevel="0" collapsed="false">
      <c r="B15" s="113" t="s">
        <v>4007</v>
      </c>
      <c r="C15" s="895" t="n">
        <f aca="false">'Gaming · Drivers'!C31*52</f>
        <v>23478</v>
      </c>
      <c r="D15" s="1025" t="n">
        <f aca="false">'Gaming · Revenue'!D53/C15</f>
        <v>25.7</v>
      </c>
      <c r="E15" s="894" t="n">
        <f aca="false">'Gaming · Revenue'!D53/'Gaming · Revenue'!D58</f>
        <v>0.60278281177986</v>
      </c>
      <c r="F15" s="565" t="s">
        <v>4165</v>
      </c>
      <c r="I15" s="1008" t="s">
        <v>4166</v>
      </c>
    </row>
    <row r="16" customFormat="false" ht="15" hidden="false" customHeight="true" outlineLevel="0" collapsed="false">
      <c r="B16" s="113" t="s">
        <v>4008</v>
      </c>
      <c r="C16" s="895" t="n">
        <f aca="false">'Gaming · Drivers'!C53*52</f>
        <v>12857</v>
      </c>
      <c r="D16" s="1025" t="n">
        <f aca="false">'Gaming · Revenue'!D54/C16</f>
        <v>18.75</v>
      </c>
      <c r="E16" s="894" t="n">
        <f aca="false">'Gaming · Revenue'!D54/'Gaming · Revenue'!D58</f>
        <v>0.240828319047679</v>
      </c>
      <c r="F16" s="565" t="s">
        <v>4167</v>
      </c>
      <c r="I16" s="1008"/>
    </row>
    <row r="17" customFormat="false" ht="15" hidden="false" customHeight="true" outlineLevel="0" collapsed="false">
      <c r="B17" s="113" t="s">
        <v>4009</v>
      </c>
      <c r="C17" s="895" t="n">
        <f aca="false">'Gaming · Drivers'!C68*52</f>
        <v>11180</v>
      </c>
      <c r="D17" s="1025" t="n">
        <f aca="false">'Gaming · Revenue'!D55/C17</f>
        <v>9</v>
      </c>
      <c r="E17" s="894" t="n">
        <f aca="false">'Gaming · Revenue'!D55/'Gaming · Revenue'!D58</f>
        <v>0.100519646211205</v>
      </c>
      <c r="F17" s="565" t="s">
        <v>4168</v>
      </c>
      <c r="I17" s="1008" t="s">
        <v>4169</v>
      </c>
    </row>
    <row r="18" customFormat="false" ht="15" hidden="false" customHeight="true" outlineLevel="0" collapsed="false">
      <c r="B18" s="113" t="s">
        <v>4170</v>
      </c>
      <c r="C18" s="895" t="n">
        <f aca="false">'Gaming · Drivers'!C75</f>
        <v>40</v>
      </c>
      <c r="D18" s="1027" t="n">
        <f aca="false">'Gaming · Drivers'!C76</f>
        <v>350</v>
      </c>
      <c r="E18" s="894" t="n">
        <f aca="false">'Gaming · Revenue'!D56/'Gaming · Revenue'!D58</f>
        <v>0.0418831859213354</v>
      </c>
      <c r="F18" s="565" t="s">
        <v>4171</v>
      </c>
      <c r="I18" s="1008" t="s">
        <v>4172</v>
      </c>
    </row>
    <row r="19" customFormat="false" ht="15" hidden="false" customHeight="true" outlineLevel="0" collapsed="false">
      <c r="B19" s="6"/>
      <c r="E19" s="6"/>
    </row>
    <row r="20" customFormat="false" ht="15" hidden="false" customHeight="true" outlineLevel="0" collapsed="false">
      <c r="B20" s="6"/>
      <c r="E20" s="6"/>
    </row>
    <row r="21" customFormat="false" ht="21.75" hidden="false" customHeight="true" outlineLevel="0" collapsed="false">
      <c r="B21" s="96" t="s">
        <v>4173</v>
      </c>
      <c r="C21" s="96"/>
      <c r="D21" s="96"/>
      <c r="E21" s="96"/>
      <c r="F21" s="96"/>
    </row>
    <row r="22" customFormat="false" ht="15" hidden="false" customHeight="true" outlineLevel="0" collapsed="false">
      <c r="B22" s="126" t="s">
        <v>4174</v>
      </c>
      <c r="C22" s="942" t="n">
        <v>3.2</v>
      </c>
      <c r="E22" s="6"/>
      <c r="F22" s="565" t="s">
        <v>4175</v>
      </c>
    </row>
    <row r="23" customFormat="false" ht="15" hidden="false" customHeight="true" outlineLevel="0" collapsed="false">
      <c r="B23" s="113" t="s">
        <v>4176</v>
      </c>
      <c r="C23" s="942" t="n">
        <v>4</v>
      </c>
      <c r="E23" s="6"/>
      <c r="F23" s="565" t="s">
        <v>4177</v>
      </c>
    </row>
    <row r="24" customFormat="false" ht="15" hidden="false" customHeight="true" outlineLevel="0" collapsed="false">
      <c r="B24" s="113" t="s">
        <v>3960</v>
      </c>
      <c r="C24" s="960" t="n">
        <v>0.45</v>
      </c>
      <c r="E24" s="6"/>
      <c r="F24" s="565" t="s">
        <v>3961</v>
      </c>
    </row>
    <row r="25" customFormat="false" ht="15" hidden="false" customHeight="true" outlineLevel="0" collapsed="false">
      <c r="B25" s="6"/>
      <c r="E25" s="6"/>
    </row>
    <row r="26" customFormat="false" ht="15" hidden="false" customHeight="true" outlineLevel="0" collapsed="false">
      <c r="B26" s="104" t="s">
        <v>4178</v>
      </c>
      <c r="C26" s="943" t="n">
        <f aca="false">C22*C23</f>
        <v>12.8</v>
      </c>
      <c r="E26" s="6"/>
      <c r="F26" s="565" t="s">
        <v>4179</v>
      </c>
    </row>
    <row r="27" customFormat="false" ht="15" hidden="false" customHeight="true" outlineLevel="0" collapsed="false">
      <c r="B27" s="81" t="s">
        <v>4180</v>
      </c>
      <c r="C27" s="1065" t="n">
        <f aca="false">C26*C7</f>
        <v>229.20892450805</v>
      </c>
      <c r="E27" s="6"/>
      <c r="F27" s="565" t="s">
        <v>4181</v>
      </c>
    </row>
    <row r="28" customFormat="false" ht="15" hidden="false" customHeight="true" outlineLevel="0" collapsed="false">
      <c r="B28" s="905" t="s">
        <v>4182</v>
      </c>
      <c r="C28" s="885" t="n">
        <f aca="false">C26*C8</f>
        <v>122.162718460107</v>
      </c>
      <c r="E28" s="6"/>
      <c r="F28" s="565" t="s">
        <v>4183</v>
      </c>
    </row>
    <row r="29" customFormat="false" ht="15" hidden="false" customHeight="true" outlineLevel="0" collapsed="false">
      <c r="B29" s="6"/>
      <c r="E29" s="6"/>
    </row>
    <row r="30" customFormat="false" ht="15" hidden="false" customHeight="true" outlineLevel="0" collapsed="false">
      <c r="B30" s="6"/>
      <c r="E30" s="6"/>
    </row>
    <row r="31" customFormat="false" ht="21.75" hidden="false" customHeight="true" outlineLevel="0" collapsed="false">
      <c r="B31" s="96" t="s">
        <v>4184</v>
      </c>
      <c r="C31" s="96"/>
      <c r="D31" s="96"/>
      <c r="E31" s="96"/>
      <c r="F31" s="96"/>
    </row>
    <row r="32" customFormat="false" ht="15" hidden="false" customHeight="true" outlineLevel="0" collapsed="false">
      <c r="B32" s="126" t="s">
        <v>4185</v>
      </c>
      <c r="C32" s="945" t="n">
        <v>30000</v>
      </c>
      <c r="D32" s="1081" t="s">
        <v>4186</v>
      </c>
      <c r="E32" s="6"/>
      <c r="F32" s="565" t="s">
        <v>4187</v>
      </c>
    </row>
    <row r="33" customFormat="false" ht="15" hidden="false" customHeight="true" outlineLevel="0" collapsed="false">
      <c r="B33" s="126" t="s">
        <v>4188</v>
      </c>
      <c r="C33" s="895" t="n">
        <f aca="false">('Gaming · Drivers'!C15*52)/C22</f>
        <v>17468.75</v>
      </c>
      <c r="E33" s="6"/>
      <c r="F33" s="565" t="s">
        <v>4189</v>
      </c>
    </row>
    <row r="34" customFormat="false" ht="15" hidden="false" customHeight="true" outlineLevel="0" collapsed="false">
      <c r="B34" s="81" t="s">
        <v>4190</v>
      </c>
      <c r="C34" s="1077" t="n">
        <f aca="false">C32/C33</f>
        <v>1.71735241502683</v>
      </c>
      <c r="E34" s="6"/>
      <c r="F34" s="565" t="s">
        <v>4191</v>
      </c>
    </row>
    <row r="35" customFormat="false" ht="15" hidden="false" customHeight="true" outlineLevel="0" collapsed="false">
      <c r="B35" s="592" t="s">
        <v>4192</v>
      </c>
      <c r="C35" s="897" t="s">
        <v>4193</v>
      </c>
      <c r="E35" s="6"/>
      <c r="F35" s="565" t="s">
        <v>4194</v>
      </c>
    </row>
    <row r="36" customFormat="false" ht="15" hidden="false" customHeight="true" outlineLevel="0" collapsed="false">
      <c r="B36" s="6"/>
      <c r="E36" s="6"/>
    </row>
    <row r="37" customFormat="false" ht="15" hidden="false" customHeight="true" outlineLevel="0" collapsed="false">
      <c r="B37" s="6"/>
      <c r="E37" s="6"/>
    </row>
    <row r="38" customFormat="false" ht="33.75" hidden="false" customHeight="true" outlineLevel="0" collapsed="false">
      <c r="B38" s="125" t="s">
        <v>4195</v>
      </c>
      <c r="C38" s="125"/>
      <c r="D38" s="125"/>
      <c r="E38" s="125"/>
      <c r="F38" s="125"/>
    </row>
    <row r="39" customFormat="false" ht="15" hidden="false" customHeight="true" outlineLevel="0" collapsed="false">
      <c r="B39" s="113" t="s">
        <v>4180</v>
      </c>
      <c r="C39" s="1027" t="n">
        <f aca="false">C27</f>
        <v>229.20892450805</v>
      </c>
      <c r="E39" s="6"/>
    </row>
    <row r="40" customFormat="false" ht="15" hidden="false" customHeight="true" outlineLevel="0" collapsed="false">
      <c r="B40" s="113" t="s">
        <v>4182</v>
      </c>
      <c r="C40" s="1027" t="n">
        <f aca="false">C28</f>
        <v>122.162718460107</v>
      </c>
      <c r="E40" s="6"/>
    </row>
    <row r="41" customFormat="false" ht="15" hidden="false" customHeight="true" outlineLevel="0" collapsed="false">
      <c r="B41" s="113" t="s">
        <v>4196</v>
      </c>
      <c r="C41" s="1025" t="n">
        <f aca="false">C34</f>
        <v>1.71735241502683</v>
      </c>
      <c r="E41" s="6"/>
    </row>
    <row r="42" customFormat="false" ht="15" hidden="false" customHeight="true" outlineLevel="0" collapsed="false">
      <c r="B42" s="6"/>
      <c r="E42" s="6"/>
    </row>
    <row r="43" customFormat="false" ht="27.75" hidden="false" customHeight="true" outlineLevel="0" collapsed="false">
      <c r="B43" s="1028" t="s">
        <v>4197</v>
      </c>
      <c r="C43" s="1082" t="n">
        <f aca="false">C27/C34</f>
        <v>133.466446666667</v>
      </c>
      <c r="D43" s="1083" t="s">
        <v>4198</v>
      </c>
      <c r="E43" s="1083"/>
      <c r="F43" s="1083"/>
    </row>
    <row r="44" customFormat="false" ht="27.75" hidden="false" customHeight="true" outlineLevel="0" collapsed="false">
      <c r="B44" s="1028" t="s">
        <v>4199</v>
      </c>
      <c r="C44" s="1082" t="n">
        <f aca="false">C28/C34</f>
        <v>71.1343329366667</v>
      </c>
      <c r="D44" s="1083" t="s">
        <v>4200</v>
      </c>
      <c r="E44" s="1083"/>
      <c r="F44" s="1083"/>
    </row>
    <row r="45" customFormat="false" ht="15" hidden="false" customHeight="true" outlineLevel="0" collapsed="false">
      <c r="B45" s="6"/>
      <c r="E45" s="6"/>
    </row>
    <row r="46" customFormat="false" ht="15" hidden="false" customHeight="true" outlineLevel="0" collapsed="false">
      <c r="B46" s="113" t="s">
        <v>4201</v>
      </c>
      <c r="C46" s="1084" t="n">
        <f aca="false">C34/(C8*C22/12)</f>
        <v>0.674779646035847</v>
      </c>
      <c r="D46" s="742" t="s">
        <v>4202</v>
      </c>
      <c r="E46" s="742"/>
      <c r="F46" s="742"/>
    </row>
    <row r="47" customFormat="false" ht="15" hidden="false" customHeight="true" outlineLevel="0" collapsed="false">
      <c r="B47" s="6"/>
      <c r="E47" s="6"/>
    </row>
    <row r="48" customFormat="false" ht="15" hidden="false" customHeight="true" outlineLevel="0" collapsed="false">
      <c r="B48" s="6"/>
      <c r="E48" s="6"/>
    </row>
    <row r="49" customFormat="false" ht="33.75" hidden="false" customHeight="true" outlineLevel="0" collapsed="false">
      <c r="B49" s="125" t="s">
        <v>4203</v>
      </c>
      <c r="C49" s="125"/>
      <c r="D49" s="125"/>
      <c r="E49" s="125"/>
      <c r="F49" s="125"/>
    </row>
    <row r="50" customFormat="false" ht="120" hidden="false" customHeight="true" outlineLevel="0" collapsed="false">
      <c r="B50" s="1085" t="s">
        <v>4204</v>
      </c>
      <c r="C50" s="1085"/>
      <c r="D50" s="1085"/>
      <c r="E50" s="1085"/>
      <c r="F50" s="1085"/>
    </row>
    <row r="51" customFormat="false" ht="18" hidden="false" customHeight="true" outlineLevel="0" collapsed="false">
      <c r="B51" s="1085"/>
      <c r="C51" s="1085"/>
      <c r="D51" s="1085"/>
      <c r="E51" s="1085"/>
      <c r="F51" s="1085"/>
    </row>
    <row r="52" customFormat="false" ht="18" hidden="false" customHeight="true" outlineLevel="0" collapsed="false">
      <c r="B52" s="1085"/>
      <c r="C52" s="1085"/>
      <c r="D52" s="1085"/>
      <c r="E52" s="1085"/>
      <c r="F52" s="1085"/>
    </row>
    <row r="53" customFormat="false" ht="18" hidden="false" customHeight="true" outlineLevel="0" collapsed="false">
      <c r="B53" s="1085"/>
      <c r="C53" s="1085"/>
      <c r="D53" s="1085"/>
      <c r="E53" s="1085"/>
      <c r="F53" s="1085"/>
    </row>
    <row r="54" customFormat="false" ht="18" hidden="false" customHeight="true" outlineLevel="0" collapsed="false">
      <c r="B54" s="1085"/>
      <c r="C54" s="1085"/>
      <c r="D54" s="1085"/>
      <c r="E54" s="1085"/>
      <c r="F54" s="1085"/>
    </row>
    <row r="55" customFormat="false" ht="18" hidden="false" customHeight="true" outlineLevel="0" collapsed="false">
      <c r="B55" s="1085"/>
      <c r="C55" s="1085"/>
      <c r="D55" s="1085"/>
      <c r="E55" s="1085"/>
      <c r="F55" s="1085"/>
    </row>
    <row r="56" customFormat="false" ht="18" hidden="false" customHeight="true" outlineLevel="0" collapsed="false">
      <c r="B56" s="1085"/>
      <c r="C56" s="1085"/>
      <c r="D56" s="1085"/>
      <c r="E56" s="1085"/>
      <c r="F56" s="1085"/>
    </row>
    <row r="57" customFormat="false" ht="18" hidden="false" customHeight="true" outlineLevel="0" collapsed="false">
      <c r="B57" s="1085"/>
      <c r="C57" s="1085"/>
      <c r="D57" s="1085"/>
      <c r="E57" s="1085"/>
      <c r="F57" s="1085"/>
    </row>
    <row r="58" customFormat="false" ht="18" hidden="false" customHeight="true" outlineLevel="0" collapsed="false">
      <c r="B58" s="1085"/>
      <c r="C58" s="1085"/>
      <c r="D58" s="1085"/>
      <c r="E58" s="1085"/>
      <c r="F58" s="1085"/>
    </row>
    <row r="59" customFormat="false" ht="18" hidden="false" customHeight="true" outlineLevel="0" collapsed="false">
      <c r="B59" s="1085"/>
      <c r="C59" s="1085"/>
      <c r="D59" s="1085"/>
      <c r="E59" s="1085"/>
      <c r="F59" s="1085"/>
    </row>
    <row r="60" customFormat="false" ht="18" hidden="false" customHeight="true" outlineLevel="0" collapsed="false">
      <c r="B60" s="1085"/>
      <c r="C60" s="1085"/>
      <c r="D60" s="1085"/>
      <c r="E60" s="1085"/>
      <c r="F60" s="1085"/>
    </row>
    <row r="61" customFormat="false" ht="18" hidden="false" customHeight="true" outlineLevel="0" collapsed="false">
      <c r="B61" s="1085"/>
      <c r="C61" s="1085"/>
      <c r="D61" s="1085"/>
      <c r="E61" s="1085"/>
      <c r="F61" s="1085"/>
    </row>
    <row r="62" customFormat="false" ht="18" hidden="false" customHeight="true" outlineLevel="0" collapsed="false">
      <c r="B62" s="1085"/>
      <c r="C62" s="1085"/>
      <c r="D62" s="1085"/>
      <c r="E62" s="1085"/>
      <c r="F62" s="1085"/>
    </row>
    <row r="63" customFormat="false" ht="18" hidden="false" customHeight="true" outlineLevel="0" collapsed="false">
      <c r="B63" s="1085"/>
      <c r="C63" s="1085"/>
      <c r="D63" s="1085"/>
      <c r="E63" s="1085"/>
      <c r="F63" s="1085"/>
    </row>
    <row r="64" customFormat="false" ht="18" hidden="false" customHeight="true" outlineLevel="0" collapsed="false">
      <c r="B64" s="1085"/>
      <c r="C64" s="1085"/>
      <c r="D64" s="1085"/>
      <c r="E64" s="1085"/>
      <c r="F64" s="1085"/>
    </row>
    <row r="65" customFormat="false" ht="18" hidden="false" customHeight="true" outlineLevel="0" collapsed="false">
      <c r="B65" s="1085"/>
      <c r="C65" s="1085"/>
      <c r="D65" s="1085"/>
      <c r="E65" s="1085"/>
      <c r="F65" s="1085"/>
    </row>
  </sheetData>
  <mergeCells count="13">
    <mergeCell ref="B2:H2"/>
    <mergeCell ref="I2:L2"/>
    <mergeCell ref="B3:L3"/>
    <mergeCell ref="B5:F5"/>
    <mergeCell ref="B13:F13"/>
    <mergeCell ref="B21:F21"/>
    <mergeCell ref="B31:F31"/>
    <mergeCell ref="B38:F38"/>
    <mergeCell ref="D43:F43"/>
    <mergeCell ref="D44:F44"/>
    <mergeCell ref="D46:F46"/>
    <mergeCell ref="B49:F49"/>
    <mergeCell ref="B50:F6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3"/>
    <col collapsed="false" customWidth="true" hidden="false" outlineLevel="0" max="5" min="5" style="0" width="11"/>
    <col collapsed="false" customWidth="true" hidden="false" outlineLevel="0" max="12" min="6" style="0" width="9"/>
  </cols>
  <sheetData>
    <row r="1" customFormat="false" ht="3.75" hidden="false" customHeight="true" outlineLevel="0" collapsed="false">
      <c r="B1" s="876"/>
      <c r="C1" s="877"/>
      <c r="D1" s="877"/>
      <c r="E1" s="876"/>
      <c r="F1" s="877"/>
      <c r="G1" s="877"/>
      <c r="H1" s="877"/>
      <c r="I1" s="877"/>
      <c r="J1" s="877"/>
      <c r="K1" s="877"/>
      <c r="L1" s="877"/>
    </row>
    <row r="2" customFormat="false" ht="27.75" hidden="false" customHeight="true" outlineLevel="0" collapsed="false">
      <c r="B2" s="917" t="s">
        <v>4205</v>
      </c>
      <c r="C2" s="917"/>
      <c r="D2" s="917"/>
      <c r="E2" s="917"/>
      <c r="F2" s="917"/>
      <c r="G2" s="917"/>
      <c r="H2" s="917"/>
      <c r="I2" s="89" t="s">
        <v>3432</v>
      </c>
      <c r="J2" s="89"/>
      <c r="K2" s="89"/>
      <c r="L2" s="89"/>
    </row>
    <row r="3" customFormat="false" ht="18" hidden="false" customHeight="true" outlineLevel="0" collapsed="false">
      <c r="B3" s="90" t="s">
        <v>4206</v>
      </c>
      <c r="C3" s="90"/>
      <c r="D3" s="90"/>
      <c r="E3" s="90"/>
      <c r="F3" s="90"/>
      <c r="G3" s="90"/>
      <c r="H3" s="90"/>
      <c r="I3" s="90"/>
      <c r="J3" s="90"/>
      <c r="K3" s="90"/>
      <c r="L3" s="90"/>
    </row>
    <row r="4" customFormat="false" ht="15" hidden="false" customHeight="true" outlineLevel="0" collapsed="false">
      <c r="B4" s="6"/>
      <c r="E4" s="6"/>
    </row>
    <row r="5" customFormat="false" ht="21.75" hidden="false" customHeight="true" outlineLevel="0" collapsed="false">
      <c r="B5" s="96" t="s">
        <v>4207</v>
      </c>
      <c r="C5" s="96"/>
      <c r="D5" s="96"/>
      <c r="E5" s="96"/>
    </row>
    <row r="6" customFormat="false" ht="27.75" hidden="false" customHeight="true" outlineLevel="0" collapsed="false">
      <c r="B6" s="880" t="s">
        <v>206</v>
      </c>
      <c r="C6" s="881" t="s">
        <v>393</v>
      </c>
      <c r="D6" s="881" t="s">
        <v>4208</v>
      </c>
      <c r="E6" s="880" t="s">
        <v>778</v>
      </c>
    </row>
    <row r="7" customFormat="false" ht="15" hidden="false" customHeight="true" outlineLevel="0" collapsed="false">
      <c r="B7" s="592" t="s">
        <v>4209</v>
      </c>
      <c r="C7" s="1049" t="n">
        <f aca="false">'Gaming · Costs'!C31</f>
        <v>288494.5358925</v>
      </c>
      <c r="D7" s="1086" t="s">
        <v>4210</v>
      </c>
      <c r="E7" s="128" t="s">
        <v>4211</v>
      </c>
    </row>
    <row r="8" customFormat="false" ht="15" hidden="false" customHeight="true" outlineLevel="0" collapsed="false">
      <c r="B8" s="592" t="s">
        <v>4212</v>
      </c>
      <c r="C8" s="1087" t="n">
        <f aca="false">'Gaming · Costs'!C33</f>
        <v>0.178817794337523</v>
      </c>
      <c r="D8" s="1086" t="s">
        <v>4213</v>
      </c>
      <c r="E8" s="128" t="s">
        <v>4214</v>
      </c>
    </row>
    <row r="9" customFormat="false" ht="15" hidden="false" customHeight="true" outlineLevel="0" collapsed="false">
      <c r="B9" s="592" t="s">
        <v>4151</v>
      </c>
      <c r="C9" s="1088" t="n">
        <f aca="false">1-C8</f>
        <v>0.821182205662477</v>
      </c>
      <c r="E9" s="128" t="s">
        <v>4215</v>
      </c>
    </row>
    <row r="10" customFormat="false" ht="15" hidden="false" customHeight="true" outlineLevel="0" collapsed="false">
      <c r="B10" s="6"/>
      <c r="E10" s="6"/>
    </row>
    <row r="11" customFormat="false" ht="17.25" hidden="false" customHeight="true" outlineLevel="0" collapsed="false">
      <c r="B11" s="1028" t="s">
        <v>4216</v>
      </c>
      <c r="C11" s="1029" t="n">
        <f aca="false">C7/C9</f>
        <v>351316.107318425</v>
      </c>
      <c r="D11" s="1065" t="n">
        <f aca="false">C11/12</f>
        <v>29276.3422765354</v>
      </c>
      <c r="E11" s="128" t="s">
        <v>4217</v>
      </c>
    </row>
    <row r="12" customFormat="false" ht="17.25" hidden="false" customHeight="true" outlineLevel="0" collapsed="false">
      <c r="B12" s="1030" t="s">
        <v>4218</v>
      </c>
      <c r="C12" s="1089" t="n">
        <f aca="false">C11*('Gaming · Drivers'!C15*52)/'Gaming · Revenue'!D58</f>
        <v>19618.9837866366</v>
      </c>
      <c r="D12" s="1090" t="n">
        <f aca="false">C12/52</f>
        <v>377.288149743011</v>
      </c>
      <c r="E12" s="128" t="s">
        <v>4219</v>
      </c>
    </row>
    <row r="13" customFormat="false" ht="15" hidden="false" customHeight="true" outlineLevel="0" collapsed="false">
      <c r="B13" s="113" t="s">
        <v>4220</v>
      </c>
      <c r="C13" s="1091" t="n">
        <f aca="false">'Gaming · Drivers'!C15*52</f>
        <v>55900</v>
      </c>
      <c r="D13" s="1091" t="n">
        <f aca="false">'Gaming · Drivers'!C15</f>
        <v>1075</v>
      </c>
      <c r="E13" s="128" t="s">
        <v>4221</v>
      </c>
    </row>
    <row r="14" customFormat="false" ht="15" hidden="false" customHeight="true" outlineLevel="0" collapsed="false">
      <c r="B14" s="905" t="s">
        <v>4222</v>
      </c>
      <c r="C14" s="1092" t="n">
        <f aca="false">C13/C12-1</f>
        <v>1.84928111506347</v>
      </c>
      <c r="E14" s="128" t="s">
        <v>4223</v>
      </c>
    </row>
    <row r="15" customFormat="false" ht="15" hidden="false" customHeight="true" outlineLevel="0" collapsed="false">
      <c r="B15" s="6"/>
      <c r="E15" s="6"/>
    </row>
    <row r="16" customFormat="false" ht="15" hidden="false" customHeight="true" outlineLevel="0" collapsed="false">
      <c r="B16" s="6"/>
      <c r="E16" s="6"/>
    </row>
    <row r="17" customFormat="false" ht="33.75" hidden="false" customHeight="true" outlineLevel="0" collapsed="false">
      <c r="B17" s="125" t="s">
        <v>4224</v>
      </c>
      <c r="C17" s="125"/>
      <c r="D17" s="125"/>
      <c r="E17" s="125"/>
    </row>
    <row r="18" customFormat="false" ht="33.75" hidden="false" customHeight="true" outlineLevel="0" collapsed="false">
      <c r="B18" s="126" t="s">
        <v>3509</v>
      </c>
      <c r="C18" s="945" t="n">
        <v>4000000</v>
      </c>
      <c r="E18" s="128" t="s">
        <v>4225</v>
      </c>
    </row>
    <row r="19" customFormat="false" ht="15" hidden="false" customHeight="true" outlineLevel="0" collapsed="false">
      <c r="B19" s="113" t="s">
        <v>4226</v>
      </c>
      <c r="C19" s="1027" t="n">
        <f aca="false">'Gaming · Cash Flow'!C28</f>
        <v>423566.377367702</v>
      </c>
      <c r="E19" s="128" t="s">
        <v>4227</v>
      </c>
    </row>
    <row r="20" customFormat="false" ht="15" hidden="false" customHeight="true" outlineLevel="0" collapsed="false">
      <c r="B20" s="113" t="s">
        <v>3513</v>
      </c>
      <c r="C20" s="1027" t="n">
        <f aca="false">'Gaming · Cash Flow'!F28</f>
        <v>550138.26094378</v>
      </c>
      <c r="E20" s="128" t="s">
        <v>4228</v>
      </c>
    </row>
    <row r="21" customFormat="false" ht="15" hidden="false" customHeight="true" outlineLevel="0" collapsed="false">
      <c r="B21" s="6"/>
      <c r="E21" s="6"/>
    </row>
    <row r="22" customFormat="false" ht="15" hidden="false" customHeight="true" outlineLevel="0" collapsed="false">
      <c r="B22" s="1076" t="s">
        <v>4229</v>
      </c>
      <c r="C22" s="1093" t="n">
        <f aca="false">C18/C20</f>
        <v>7.27089948831748</v>
      </c>
      <c r="E22" s="128" t="s">
        <v>4230</v>
      </c>
    </row>
    <row r="23" customFormat="false" ht="15" hidden="false" customHeight="true" outlineLevel="0" collapsed="false">
      <c r="B23" s="905" t="s">
        <v>3517</v>
      </c>
      <c r="C23" s="886" t="n">
        <f aca="false">C20/C18</f>
        <v>0.137534565235945</v>
      </c>
      <c r="E23" s="128" t="s">
        <v>4231</v>
      </c>
    </row>
    <row r="24" customFormat="false" ht="15" hidden="false" customHeight="true" outlineLevel="0" collapsed="false">
      <c r="B24" s="6"/>
      <c r="E24" s="6"/>
    </row>
    <row r="25" customFormat="false" ht="15" hidden="false" customHeight="true" outlineLevel="0" collapsed="false">
      <c r="B25" s="6"/>
      <c r="E25" s="6"/>
    </row>
    <row r="26" customFormat="false" ht="21.75" hidden="false" customHeight="true" outlineLevel="0" collapsed="false">
      <c r="B26" s="96" t="s">
        <v>4232</v>
      </c>
      <c r="C26" s="96"/>
      <c r="D26" s="96"/>
      <c r="E26" s="96"/>
    </row>
    <row r="27" customFormat="false" ht="27.75" hidden="false" customHeight="true" outlineLevel="0" collapsed="false">
      <c r="B27" s="880" t="s">
        <v>750</v>
      </c>
      <c r="C27" s="881" t="s">
        <v>4233</v>
      </c>
      <c r="D27" s="881" t="s">
        <v>875</v>
      </c>
      <c r="E27" s="880" t="s">
        <v>669</v>
      </c>
    </row>
    <row r="28" customFormat="false" ht="15" hidden="false" customHeight="true" outlineLevel="0" collapsed="false">
      <c r="B28" s="113" t="s">
        <v>4234</v>
      </c>
      <c r="C28" s="1094" t="n">
        <f aca="false">-C18</f>
        <v>-4000000</v>
      </c>
      <c r="D28" s="1095" t="n">
        <f aca="false">-C18</f>
        <v>-4000000</v>
      </c>
      <c r="E28" s="128" t="s">
        <v>4235</v>
      </c>
    </row>
    <row r="29" customFormat="false" ht="48.75" hidden="false" customHeight="true" outlineLevel="0" collapsed="false">
      <c r="B29" s="113" t="s">
        <v>760</v>
      </c>
      <c r="C29" s="1027" t="n">
        <f aca="false">'Gaming · Cash Flow'!C28</f>
        <v>423566.377367702</v>
      </c>
      <c r="D29" s="1096" t="n">
        <f aca="false">D28+C29</f>
        <v>-3576433.6226323</v>
      </c>
      <c r="E29" s="1097" t="str">
        <f aca="false">IF(D29&gt;=0,"✓ Recovered","Recovering ("&amp;TEXT(D29/-C18,"0%")&amp;" remaining)")</f>
        <v>Recovering (89% remaining)</v>
      </c>
    </row>
    <row r="30" customFormat="false" ht="48.75" hidden="false" customHeight="true" outlineLevel="0" collapsed="false">
      <c r="B30" s="113" t="s">
        <v>908</v>
      </c>
      <c r="C30" s="1027" t="n">
        <f aca="false">'Gaming · Cash Flow'!D28</f>
        <v>477733.037418615</v>
      </c>
      <c r="D30" s="1096" t="n">
        <f aca="false">D29+C30</f>
        <v>-3098700.58521368</v>
      </c>
      <c r="E30" s="1097" t="str">
        <f aca="false">IF(D30&gt;=0,"✓ Recovered","Recovering ("&amp;TEXT(D30/-C18,"0%")&amp;" remaining)")</f>
        <v>Recovering (77% remaining)</v>
      </c>
    </row>
    <row r="31" customFormat="false" ht="48.75" hidden="false" customHeight="true" outlineLevel="0" collapsed="false">
      <c r="B31" s="113" t="s">
        <v>765</v>
      </c>
      <c r="C31" s="1027" t="n">
        <f aca="false">'Gaming · Cash Flow'!E28</f>
        <v>534073.962020105</v>
      </c>
      <c r="D31" s="1096" t="n">
        <f aca="false">D30+C31</f>
        <v>-2564626.62319358</v>
      </c>
      <c r="E31" s="1097" t="str">
        <f aca="false">IF(D31&gt;=0,"✓ Recovered","Recovering ("&amp;TEXT(D31/-C18,"0%")&amp;" remaining)")</f>
        <v>Recovering (64% remaining)</v>
      </c>
    </row>
    <row r="32" customFormat="false" ht="48.75" hidden="false" customHeight="true" outlineLevel="0" collapsed="false">
      <c r="B32" s="113" t="s">
        <v>770</v>
      </c>
      <c r="C32" s="1027" t="n">
        <f aca="false">'Gaming · Cash Flow'!F28</f>
        <v>550138.26094378</v>
      </c>
      <c r="D32" s="1096" t="n">
        <f aca="false">D31+C32</f>
        <v>-2014488.3622498</v>
      </c>
      <c r="E32" s="1097" t="str">
        <f aca="false">IF(D32&gt;=0,"✓ Recovered","Recovering ("&amp;TEXT(D32/-C18,"0%")&amp;" remaining)")</f>
        <v>Recovering (50% remaining)</v>
      </c>
    </row>
    <row r="33" customFormat="false" ht="48.75" hidden="false" customHeight="true" outlineLevel="0" collapsed="false">
      <c r="B33" s="113" t="s">
        <v>909</v>
      </c>
      <c r="C33" s="1027" t="n">
        <f aca="false">'Gaming · Cash Flow'!G28</f>
        <v>611166.343834927</v>
      </c>
      <c r="D33" s="1096" t="n">
        <f aca="false">D32+C33</f>
        <v>-1403322.01841487</v>
      </c>
      <c r="E33" s="1097" t="str">
        <f aca="false">IF(D33&gt;=0,"✓ Recovered","Recovering ("&amp;TEXT(D33/-C18,"0%")&amp;" remaining)")</f>
        <v>Recovering (35% remaining)</v>
      </c>
    </row>
    <row r="34" customFormat="false" ht="48.75" hidden="false" customHeight="true" outlineLevel="0" collapsed="false">
      <c r="B34" s="113" t="s">
        <v>910</v>
      </c>
      <c r="C34" s="1027" t="n">
        <f aca="false">'Gaming · Cash Flow'!H28</f>
        <v>657061.76875772</v>
      </c>
      <c r="D34" s="1096" t="n">
        <f aca="false">D33+C34</f>
        <v>-746260.249657151</v>
      </c>
      <c r="E34" s="1097" t="str">
        <f aca="false">IF(D34&gt;=0,"✓ Recovered","Recovering ("&amp;TEXT(D34/-C18,"0%")&amp;" remaining)")</f>
        <v>Recovering (19% remaining)</v>
      </c>
    </row>
    <row r="35" customFormat="false" ht="48.75" hidden="false" customHeight="true" outlineLevel="0" collapsed="false">
      <c r="B35" s="113" t="s">
        <v>911</v>
      </c>
      <c r="C35" s="1027" t="n">
        <f aca="false">'Gaming · Cash Flow'!I28</f>
        <v>695695.388116364</v>
      </c>
      <c r="D35" s="1096" t="n">
        <f aca="false">D34+C35</f>
        <v>-50564.8615407865</v>
      </c>
      <c r="E35" s="1097" t="str">
        <f aca="false">IF(D35&gt;=0,"✓ Recovered","Recovering ("&amp;TEXT(D35/-C18,"0%")&amp;" remaining)")</f>
        <v>Recovering (1% remaining)</v>
      </c>
    </row>
    <row r="36" customFormat="false" ht="48.75" hidden="false" customHeight="true" outlineLevel="0" collapsed="false">
      <c r="B36" s="113" t="s">
        <v>912</v>
      </c>
      <c r="C36" s="1027" t="n">
        <f aca="false">'Gaming · Cash Flow'!J28</f>
        <v>716585.19435254</v>
      </c>
      <c r="D36" s="1096" t="n">
        <f aca="false">D35+C36</f>
        <v>666020.332811754</v>
      </c>
      <c r="E36" s="1097" t="str">
        <f aca="false">IF(D36&gt;=0,"✓ Recovered","Recovering ("&amp;TEXT(D36/-C18,"0%")&amp;" remaining)")</f>
        <v>✓ Recovered</v>
      </c>
    </row>
  </sheetData>
  <mergeCells count="6">
    <mergeCell ref="B2:H2"/>
    <mergeCell ref="I2:L2"/>
    <mergeCell ref="B3:L3"/>
    <mergeCell ref="B5:E5"/>
    <mergeCell ref="B17:E17"/>
    <mergeCell ref="B26:E26"/>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27"/>
    <col collapsed="false" customWidth="true" hidden="false" outlineLevel="0" max="8" min="8" style="0" width="9"/>
    <col collapsed="false" customWidth="true" hidden="false" outlineLevel="0" max="11" min="9" style="0" width="20"/>
    <col collapsed="false" customWidth="true" hidden="false" outlineLevel="0" max="12" min="12" style="0" width="9"/>
  </cols>
  <sheetData>
    <row r="1" customFormat="false" ht="3.75" hidden="false" customHeight="true" outlineLevel="0" collapsed="false">
      <c r="B1" s="876"/>
      <c r="C1" s="877"/>
      <c r="D1" s="877"/>
      <c r="E1" s="877"/>
      <c r="F1" s="876"/>
      <c r="G1" s="877"/>
      <c r="H1" s="877"/>
      <c r="I1" s="877"/>
      <c r="J1" s="877"/>
      <c r="K1" s="877"/>
      <c r="L1" s="877"/>
    </row>
    <row r="2" customFormat="false" ht="27.75" hidden="false" customHeight="true" outlineLevel="0" collapsed="false">
      <c r="B2" s="917" t="s">
        <v>4236</v>
      </c>
      <c r="C2" s="917"/>
      <c r="D2" s="917"/>
      <c r="E2" s="917"/>
      <c r="F2" s="917"/>
      <c r="G2" s="917"/>
      <c r="H2" s="917"/>
      <c r="I2" s="89" t="s">
        <v>3432</v>
      </c>
      <c r="J2" s="89"/>
      <c r="K2" s="89"/>
      <c r="L2" s="89"/>
    </row>
    <row r="3" customFormat="false" ht="18" hidden="false" customHeight="true" outlineLevel="0" collapsed="false">
      <c r="B3" s="90" t="s">
        <v>4237</v>
      </c>
      <c r="C3" s="90"/>
      <c r="D3" s="90"/>
      <c r="E3" s="90"/>
      <c r="F3" s="90"/>
      <c r="G3" s="90"/>
      <c r="H3" s="90"/>
      <c r="I3" s="90"/>
      <c r="J3" s="90"/>
      <c r="K3" s="90"/>
      <c r="L3" s="90"/>
    </row>
    <row r="4" customFormat="false" ht="15" hidden="false" customHeight="true" outlineLevel="0" collapsed="false">
      <c r="B4" s="6"/>
      <c r="F4" s="6"/>
    </row>
    <row r="5" customFormat="false" ht="21.75" hidden="false" customHeight="true" outlineLevel="0" collapsed="false">
      <c r="B5" s="96" t="s">
        <v>4238</v>
      </c>
      <c r="C5" s="96"/>
      <c r="D5" s="96"/>
      <c r="E5" s="96"/>
      <c r="F5" s="96"/>
      <c r="G5" s="96"/>
    </row>
    <row r="6" customFormat="false" ht="31.5" hidden="false" customHeight="true" outlineLevel="0" collapsed="false">
      <c r="B6" s="880" t="s">
        <v>3445</v>
      </c>
      <c r="C6" s="881" t="s">
        <v>4239</v>
      </c>
      <c r="D6" s="881" t="s">
        <v>4240</v>
      </c>
      <c r="E6" s="881" t="s">
        <v>4241</v>
      </c>
      <c r="F6" s="880" t="s">
        <v>4242</v>
      </c>
      <c r="G6" s="881" t="s">
        <v>778</v>
      </c>
    </row>
    <row r="7" customFormat="false" ht="15" hidden="false" customHeight="true" outlineLevel="0" collapsed="false">
      <c r="B7" s="113" t="s">
        <v>4007</v>
      </c>
      <c r="C7" s="727" t="n">
        <f aca="false">'Gaming · Drivers'!C174*(60/'Gaming · Drivers'!C26)*12*7</f>
        <v>46620</v>
      </c>
      <c r="D7" s="895" t="n">
        <f aca="false">'Gaming · Drivers'!C32</f>
        <v>903</v>
      </c>
      <c r="E7" s="1062" t="n">
        <f aca="false">D7/C7</f>
        <v>0.0193693693693694</v>
      </c>
      <c r="F7" s="1098" t="n">
        <f aca="false">1-E7</f>
        <v>0.980630630630631</v>
      </c>
      <c r="G7" s="565" t="s">
        <v>4243</v>
      </c>
    </row>
    <row r="8" customFormat="false" ht="15" hidden="false" customHeight="true" outlineLevel="0" collapsed="false">
      <c r="B8" s="113" t="s">
        <v>4008</v>
      </c>
      <c r="C8" s="1099" t="n">
        <f aca="false">'Gaming · Drivers'!C47*12*12*7</f>
        <v>30240</v>
      </c>
      <c r="D8" s="895" t="n">
        <f aca="false">'Gaming · Drivers'!C54</f>
        <v>1483.5</v>
      </c>
      <c r="E8" s="1062" t="n">
        <f aca="false">D8/C8</f>
        <v>0.0490575396825397</v>
      </c>
      <c r="F8" s="1098" t="n">
        <f aca="false">1-E8</f>
        <v>0.95094246031746</v>
      </c>
      <c r="G8" s="565" t="s">
        <v>4244</v>
      </c>
    </row>
    <row r="9" customFormat="false" ht="15" hidden="false" customHeight="true" outlineLevel="0" collapsed="false">
      <c r="B9" s="113" t="s">
        <v>4009</v>
      </c>
      <c r="C9" s="1099" t="n">
        <f aca="false">'Gaming · Drivers'!C66*15*12*7</f>
        <v>31500</v>
      </c>
      <c r="D9" s="895" t="n">
        <f aca="false">'Gaming · Drivers'!C69</f>
        <v>1290</v>
      </c>
      <c r="E9" s="1062" t="n">
        <f aca="false">D9/C9</f>
        <v>0.040952380952381</v>
      </c>
      <c r="F9" s="1098" t="n">
        <f aca="false">1-E9</f>
        <v>0.959047619047619</v>
      </c>
      <c r="G9" s="565" t="s">
        <v>4245</v>
      </c>
    </row>
    <row r="10" customFormat="false" ht="15" hidden="false" customHeight="true" outlineLevel="0" collapsed="false">
      <c r="B10" s="6"/>
      <c r="F10" s="6"/>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7.75" hidden="false" customHeight="true" outlineLevel="0" collapsed="false">
      <c r="B13" s="880" t="s">
        <v>738</v>
      </c>
      <c r="C13" s="881" t="s">
        <v>4247</v>
      </c>
      <c r="D13" s="881" t="s">
        <v>4248</v>
      </c>
      <c r="E13" s="881" t="s">
        <v>3446</v>
      </c>
      <c r="F13" s="880" t="s">
        <v>4249</v>
      </c>
      <c r="G13" s="881" t="s">
        <v>778</v>
      </c>
    </row>
    <row r="14" customFormat="false" ht="15" hidden="false" customHeight="true" outlineLevel="0" collapsed="false">
      <c r="B14" s="81" t="s">
        <v>4250</v>
      </c>
      <c r="C14" s="1100" t="n">
        <f aca="false">100%</f>
        <v>1</v>
      </c>
      <c r="D14" s="895" t="n">
        <f aca="false">'Gaming · Drivers'!C15</f>
        <v>1075</v>
      </c>
      <c r="E14" s="1065" t="n">
        <f aca="false">'Gaming · Revenue'!D58</f>
        <v>1000998.35</v>
      </c>
      <c r="F14" s="1101" t="s">
        <v>672</v>
      </c>
      <c r="G14" s="565" t="s">
        <v>4251</v>
      </c>
    </row>
    <row r="15" customFormat="false" ht="15" hidden="false" customHeight="true" outlineLevel="0" collapsed="false">
      <c r="B15" s="113" t="s">
        <v>4252</v>
      </c>
      <c r="C15" s="1100" t="n">
        <f aca="false">125%</f>
        <v>1.25</v>
      </c>
      <c r="D15" s="895" t="n">
        <f aca="false">'Gaming · Drivers'!C15*1.25</f>
        <v>1343.75</v>
      </c>
      <c r="E15" s="1027" t="n">
        <f aca="false">'Gaming · Revenue'!D58*1.25</f>
        <v>1251247.9375</v>
      </c>
      <c r="F15" s="1102" t="n">
        <f aca="false">E15/E14-1</f>
        <v>0.25</v>
      </c>
      <c r="G15" s="565" t="s">
        <v>4253</v>
      </c>
    </row>
    <row r="16" customFormat="false" ht="15" hidden="false" customHeight="true" outlineLevel="0" collapsed="false">
      <c r="B16" s="113" t="s">
        <v>4254</v>
      </c>
      <c r="C16" s="1100" t="n">
        <f aca="false">150%</f>
        <v>1.5</v>
      </c>
      <c r="D16" s="895" t="n">
        <f aca="false">'Gaming · Drivers'!C15*1.5</f>
        <v>1612.5</v>
      </c>
      <c r="E16" s="1027" t="n">
        <f aca="false">'Gaming · Revenue'!D58*1.5</f>
        <v>1501497.525</v>
      </c>
      <c r="F16" s="1102" t="n">
        <f aca="false">E16/E14-1</f>
        <v>0.5</v>
      </c>
      <c r="G16" s="565" t="s">
        <v>4255</v>
      </c>
    </row>
    <row r="17" customFormat="false" ht="15" hidden="false" customHeight="true" outlineLevel="0" collapsed="false">
      <c r="B17" s="1103" t="s">
        <v>4256</v>
      </c>
      <c r="C17" s="1100" t="n">
        <f aca="false">200%</f>
        <v>2</v>
      </c>
      <c r="D17" s="895" t="n">
        <f aca="false">'Gaming · Drivers'!C15*2</f>
        <v>2150</v>
      </c>
      <c r="E17" s="1104" t="n">
        <f aca="false">'Gaming · Revenue'!D58*2</f>
        <v>2001996.7</v>
      </c>
      <c r="F17" s="1105" t="n">
        <f aca="false">E17/E14-1</f>
        <v>1</v>
      </c>
      <c r="G17" s="565" t="s">
        <v>4257</v>
      </c>
    </row>
    <row r="18" customFormat="false" ht="15" hidden="false" customHeight="true" outlineLevel="0" collapsed="false">
      <c r="B18" s="6"/>
      <c r="F18" s="6"/>
    </row>
    <row r="19" customFormat="false" ht="15" hidden="false" customHeight="true" outlineLevel="0" collapsed="false">
      <c r="B19" s="6"/>
      <c r="F19" s="6"/>
    </row>
    <row r="20" customFormat="false" ht="120" hidden="false" customHeight="true" outlineLevel="0" collapsed="false">
      <c r="B20" s="1106" t="s">
        <v>4258</v>
      </c>
      <c r="C20" s="1106"/>
      <c r="D20" s="1106"/>
      <c r="E20" s="1106"/>
      <c r="F20" s="1106"/>
      <c r="G20" s="1106"/>
    </row>
    <row r="21" customFormat="false" ht="15" hidden="false" customHeight="true" outlineLevel="0" collapsed="false">
      <c r="B21" s="1106"/>
      <c r="C21" s="1106"/>
      <c r="D21" s="1106"/>
      <c r="E21" s="1106"/>
      <c r="F21" s="1106"/>
      <c r="G21" s="1106"/>
    </row>
    <row r="22" customFormat="false" ht="15" hidden="false" customHeight="true" outlineLevel="0" collapsed="false">
      <c r="B22" s="1106"/>
      <c r="C22" s="1106"/>
      <c r="D22" s="1106"/>
      <c r="E22" s="1106"/>
      <c r="F22" s="1106"/>
      <c r="G22" s="1106"/>
    </row>
    <row r="23" customFormat="false" ht="15" hidden="false" customHeight="true" outlineLevel="0" collapsed="false">
      <c r="B23" s="1106"/>
      <c r="C23" s="1106"/>
      <c r="D23" s="1106"/>
      <c r="E23" s="1106"/>
      <c r="F23" s="1106"/>
      <c r="G23" s="1106"/>
    </row>
  </sheetData>
  <mergeCells count="6">
    <mergeCell ref="B2:H2"/>
    <mergeCell ref="I2:L2"/>
    <mergeCell ref="B3:L3"/>
    <mergeCell ref="B5:G5"/>
    <mergeCell ref="B12:G12"/>
    <mergeCell ref="B20:G2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5" min="4" style="0" width="22"/>
    <col collapsed="false" customWidth="true" hidden="false" outlineLevel="0" max="6" min="6" style="0" width="14"/>
    <col collapsed="false" customWidth="true" hidden="false" outlineLevel="0" max="7" min="7" style="0" width="21"/>
    <col collapsed="false" customWidth="true" hidden="false" outlineLevel="0" max="8" min="8" style="0" width="9"/>
    <col collapsed="false" customWidth="true" hidden="false" outlineLevel="0" max="9" min="9" style="0" width="20"/>
    <col collapsed="false" customWidth="true" hidden="false" outlineLevel="0" max="12" min="10" style="0" width="9"/>
  </cols>
  <sheetData>
    <row r="1" customFormat="false" ht="3.75" hidden="false" customHeight="true" outlineLevel="0" collapsed="false">
      <c r="B1" s="876"/>
      <c r="C1" s="877"/>
      <c r="D1" s="877"/>
      <c r="E1" s="877"/>
      <c r="F1" s="876"/>
      <c r="G1" s="877"/>
      <c r="H1" s="877"/>
      <c r="I1" s="877"/>
      <c r="J1" s="877"/>
      <c r="K1" s="877"/>
      <c r="L1" s="877"/>
    </row>
    <row r="2" customFormat="false" ht="27.75" hidden="false" customHeight="true" outlineLevel="0" collapsed="false">
      <c r="B2" s="917" t="s">
        <v>4259</v>
      </c>
      <c r="C2" s="917"/>
      <c r="D2" s="917"/>
      <c r="E2" s="917"/>
      <c r="F2" s="917"/>
      <c r="G2" s="917"/>
      <c r="H2" s="917"/>
      <c r="I2" s="89" t="s">
        <v>3432</v>
      </c>
      <c r="J2" s="89"/>
      <c r="K2" s="89"/>
      <c r="L2" s="89"/>
    </row>
    <row r="3" customFormat="false" ht="18" hidden="false" customHeight="true" outlineLevel="0" collapsed="false">
      <c r="B3" s="90" t="s">
        <v>4260</v>
      </c>
      <c r="C3" s="90"/>
      <c r="D3" s="90"/>
      <c r="E3" s="90"/>
      <c r="F3" s="90"/>
      <c r="G3" s="90"/>
      <c r="H3" s="90"/>
      <c r="I3" s="90"/>
      <c r="J3" s="90"/>
      <c r="K3" s="90"/>
      <c r="L3" s="90"/>
    </row>
    <row r="4" customFormat="false" ht="15" hidden="false" customHeight="true" outlineLevel="0" collapsed="false">
      <c r="B4" s="6"/>
      <c r="F4" s="6"/>
      <c r="I4" s="1008"/>
    </row>
    <row r="5" customFormat="false" ht="33.75" hidden="false" customHeight="true" outlineLevel="0" collapsed="false">
      <c r="B5" s="96" t="s">
        <v>4261</v>
      </c>
      <c r="C5" s="96"/>
      <c r="D5" s="96"/>
      <c r="E5" s="96"/>
      <c r="F5" s="96"/>
      <c r="G5" s="96"/>
      <c r="I5" s="1008" t="s">
        <v>4262</v>
      </c>
    </row>
    <row r="6" customFormat="false" ht="31.5" hidden="false" customHeight="true" outlineLevel="0" collapsed="false">
      <c r="B6" s="880" t="s">
        <v>3507</v>
      </c>
      <c r="C6" s="881" t="s">
        <v>4263</v>
      </c>
      <c r="D6" s="881" t="s">
        <v>4264</v>
      </c>
      <c r="E6" s="881" t="s">
        <v>2930</v>
      </c>
      <c r="F6" s="880" t="s">
        <v>4265</v>
      </c>
      <c r="G6" s="881" t="s">
        <v>4266</v>
      </c>
      <c r="I6" s="1008" t="s">
        <v>4267</v>
      </c>
    </row>
    <row r="7" customFormat="false" ht="15" hidden="false" customHeight="true" outlineLevel="0" collapsed="false">
      <c r="B7" s="113" t="s">
        <v>4268</v>
      </c>
      <c r="C7" s="1091" t="n">
        <f aca="false">'Gaming · Drivers'!C15</f>
        <v>1075</v>
      </c>
      <c r="D7" s="1107" t="s">
        <v>4269</v>
      </c>
      <c r="E7" s="1078" t="s">
        <v>4270</v>
      </c>
      <c r="F7" s="1108" t="s">
        <v>4271</v>
      </c>
      <c r="G7" s="565" t="s">
        <v>4272</v>
      </c>
      <c r="I7" s="1008"/>
    </row>
    <row r="8" customFormat="false" ht="15" hidden="false" customHeight="true" outlineLevel="0" collapsed="false">
      <c r="B8" s="113" t="s">
        <v>4273</v>
      </c>
      <c r="C8" s="1062" t="n">
        <f aca="false">'Gaming · Drivers'!C36</f>
        <v>0.6</v>
      </c>
      <c r="D8" s="1107" t="s">
        <v>4274</v>
      </c>
      <c r="E8" s="1078" t="s">
        <v>4270</v>
      </c>
      <c r="F8" s="1108" t="s">
        <v>4275</v>
      </c>
      <c r="G8" s="565" t="s">
        <v>4276</v>
      </c>
      <c r="I8" s="1008" t="s">
        <v>4277</v>
      </c>
    </row>
    <row r="9" customFormat="false" ht="15" hidden="false" customHeight="true" outlineLevel="0" collapsed="false">
      <c r="B9" s="113" t="s">
        <v>4278</v>
      </c>
      <c r="C9" s="1062" t="n">
        <f aca="false">'Gaming · Drivers'!C57</f>
        <v>0.5</v>
      </c>
      <c r="D9" s="1107" t="s">
        <v>4279</v>
      </c>
      <c r="E9" s="1078" t="s">
        <v>4270</v>
      </c>
      <c r="F9" s="1108" t="s">
        <v>4275</v>
      </c>
      <c r="G9" s="565" t="s">
        <v>4280</v>
      </c>
      <c r="I9" s="1008" t="s">
        <v>4281</v>
      </c>
    </row>
    <row r="10" customFormat="false" ht="15" hidden="false" customHeight="true" outlineLevel="0" collapsed="false">
      <c r="B10" s="113" t="s">
        <v>4282</v>
      </c>
      <c r="C10" s="1109" t="n">
        <f aca="false">'Gaming · Revenue'!D58/('Gaming · Drivers'!C15*52)</f>
        <v>17.9069472271914</v>
      </c>
      <c r="D10" s="1107" t="s">
        <v>4283</v>
      </c>
      <c r="E10" s="1078" t="s">
        <v>4270</v>
      </c>
      <c r="F10" s="1108" t="s">
        <v>4271</v>
      </c>
      <c r="G10" s="565" t="s">
        <v>4284</v>
      </c>
      <c r="I10" s="1008" t="s">
        <v>4285</v>
      </c>
    </row>
    <row r="11" customFormat="false" ht="15" hidden="false" customHeight="true" outlineLevel="0" collapsed="false">
      <c r="B11" s="113" t="s">
        <v>4286</v>
      </c>
      <c r="C11" s="1062" t="n">
        <f aca="false">0.45</f>
        <v>0.45</v>
      </c>
      <c r="D11" s="1107" t="s">
        <v>4279</v>
      </c>
      <c r="E11" s="1078" t="s">
        <v>4287</v>
      </c>
      <c r="F11" s="1108" t="s">
        <v>4288</v>
      </c>
      <c r="G11" s="565" t="s">
        <v>4289</v>
      </c>
      <c r="I11" s="1008" t="s">
        <v>4290</v>
      </c>
    </row>
    <row r="12" customFormat="false" ht="15" hidden="false" customHeight="true" outlineLevel="0" collapsed="false">
      <c r="B12" s="113" t="s">
        <v>4291</v>
      </c>
      <c r="C12" s="1062" t="n">
        <f aca="false">0.95</f>
        <v>0.95</v>
      </c>
      <c r="D12" s="1107" t="s">
        <v>4292</v>
      </c>
      <c r="E12" s="1078" t="s">
        <v>4270</v>
      </c>
      <c r="F12" s="1108" t="s">
        <v>4293</v>
      </c>
      <c r="G12" s="565" t="s">
        <v>4294</v>
      </c>
      <c r="I12" s="1008" t="s">
        <v>4295</v>
      </c>
    </row>
    <row r="13" customFormat="false" ht="15" hidden="false" customHeight="true" outlineLevel="0" collapsed="false">
      <c r="B13" s="113" t="s">
        <v>4296</v>
      </c>
      <c r="C13" s="1056" t="n">
        <f aca="false">'Gaming · Revenue'!D58/'Gaming · Drivers'!C79</f>
        <v>55611.0194444444</v>
      </c>
      <c r="D13" s="1107" t="s">
        <v>4297</v>
      </c>
      <c r="E13" s="1078" t="s">
        <v>4287</v>
      </c>
      <c r="F13" s="1108" t="s">
        <v>4298</v>
      </c>
      <c r="G13" s="565" t="s">
        <v>4299</v>
      </c>
      <c r="I13" s="1008"/>
    </row>
    <row r="14" customFormat="false" ht="15" hidden="false" customHeight="true" outlineLevel="0" collapsed="false">
      <c r="B14" s="113" t="s">
        <v>4300</v>
      </c>
      <c r="C14" s="1110" t="n">
        <f aca="false">50</f>
        <v>50</v>
      </c>
      <c r="D14" s="1107" t="s">
        <v>4301</v>
      </c>
      <c r="E14" s="1078" t="s">
        <v>4302</v>
      </c>
      <c r="F14" s="1108" t="s">
        <v>4288</v>
      </c>
      <c r="G14" s="565" t="s">
        <v>4303</v>
      </c>
      <c r="I14" s="1008" t="s">
        <v>4304</v>
      </c>
    </row>
    <row r="15" customFormat="false" ht="15" hidden="false" customHeight="true" outlineLevel="0" collapsed="false">
      <c r="B15" s="113" t="s">
        <v>4305</v>
      </c>
      <c r="C15" s="1110" t="n">
        <f aca="false">0</f>
        <v>0</v>
      </c>
      <c r="D15" s="1107" t="s">
        <v>4306</v>
      </c>
      <c r="E15" s="1078" t="s">
        <v>4270</v>
      </c>
      <c r="F15" s="1108" t="s">
        <v>4271</v>
      </c>
      <c r="G15" s="565" t="s">
        <v>4307</v>
      </c>
      <c r="I15" s="1008" t="s">
        <v>4308</v>
      </c>
    </row>
    <row r="16" customFormat="false" ht="15" hidden="false" customHeight="true" outlineLevel="0" collapsed="false">
      <c r="B16" s="113" t="s">
        <v>3913</v>
      </c>
      <c r="C16" s="1062" t="n">
        <f aca="false">'Gaming · Drivers'!C71</f>
        <v>0.22</v>
      </c>
      <c r="D16" s="1107" t="s">
        <v>4309</v>
      </c>
      <c r="E16" s="1078" t="s">
        <v>4287</v>
      </c>
      <c r="F16" s="1108" t="s">
        <v>4298</v>
      </c>
      <c r="G16" s="565" t="s">
        <v>4310</v>
      </c>
      <c r="I16" s="1008" t="s">
        <v>4311</v>
      </c>
    </row>
    <row r="17" customFormat="false" ht="15" hidden="false" customHeight="true" outlineLevel="0" collapsed="false">
      <c r="B17" s="6"/>
      <c r="F17" s="6"/>
    </row>
    <row r="18" customFormat="false" ht="15" hidden="false" customHeight="true" outlineLevel="0" collapsed="false">
      <c r="B18" s="6"/>
      <c r="F18" s="6"/>
    </row>
    <row r="19" customFormat="false" ht="21.75" hidden="false" customHeight="true" outlineLevel="0" collapsed="false">
      <c r="B19" s="72" t="s">
        <v>4312</v>
      </c>
      <c r="C19" s="72"/>
      <c r="D19" s="72"/>
      <c r="E19" s="72"/>
      <c r="F19" s="72"/>
      <c r="G19" s="72"/>
    </row>
    <row r="20" customFormat="false" ht="15" hidden="false" customHeight="true" outlineLevel="0" collapsed="false">
      <c r="B20" s="880" t="s">
        <v>3507</v>
      </c>
      <c r="C20" s="881" t="s">
        <v>4313</v>
      </c>
      <c r="D20" s="881" t="s">
        <v>2255</v>
      </c>
      <c r="E20" s="881" t="s">
        <v>2930</v>
      </c>
      <c r="F20" s="880" t="s">
        <v>4265</v>
      </c>
      <c r="G20" s="881" t="s">
        <v>1658</v>
      </c>
    </row>
    <row r="21" customFormat="false" ht="15" hidden="false" customHeight="true" outlineLevel="0" collapsed="false">
      <c r="B21" s="113" t="s">
        <v>4314</v>
      </c>
      <c r="C21" s="1056" t="n">
        <f aca="false">'Gaming · Revenue'!D58/12</f>
        <v>83416.5291666667</v>
      </c>
      <c r="D21" s="1107" t="s">
        <v>4269</v>
      </c>
      <c r="E21" s="1078" t="s">
        <v>4287</v>
      </c>
      <c r="F21" s="1108" t="s">
        <v>4315</v>
      </c>
      <c r="G21" s="565" t="s">
        <v>4316</v>
      </c>
    </row>
    <row r="22" customFormat="false" ht="15" hidden="false" customHeight="true" outlineLevel="0" collapsed="false">
      <c r="B22" s="113" t="s">
        <v>4317</v>
      </c>
      <c r="C22" s="1056" t="n">
        <f aca="false">'Gaming · Costs'!C35/12</f>
        <v>44458.9580854167</v>
      </c>
      <c r="D22" s="1107" t="s">
        <v>4318</v>
      </c>
      <c r="E22" s="1078" t="s">
        <v>4287</v>
      </c>
      <c r="F22" s="1108" t="s">
        <v>4315</v>
      </c>
      <c r="G22" s="565" t="s">
        <v>4316</v>
      </c>
    </row>
    <row r="23" customFormat="false" ht="15" hidden="false" customHeight="true" outlineLevel="0" collapsed="false">
      <c r="B23" s="113" t="s">
        <v>4070</v>
      </c>
      <c r="C23" s="1062" t="n">
        <f aca="false">'Gaming · Costs'!C35/'Gaming · Revenue'!D58</f>
        <v>0.532975401033378</v>
      </c>
      <c r="D23" s="1107" t="s">
        <v>4319</v>
      </c>
      <c r="E23" s="1078" t="s">
        <v>4287</v>
      </c>
      <c r="F23" s="1108" t="s">
        <v>4315</v>
      </c>
      <c r="G23" s="565" t="s">
        <v>4320</v>
      </c>
    </row>
    <row r="24" customFormat="false" ht="15" hidden="false" customHeight="true" outlineLevel="0" collapsed="false">
      <c r="B24" s="113" t="s">
        <v>4321</v>
      </c>
      <c r="C24" s="1056" t="n">
        <f aca="false">'Gaming · Cash Flow'!F28/12</f>
        <v>45844.8550786484</v>
      </c>
      <c r="D24" s="1107" t="s">
        <v>4322</v>
      </c>
      <c r="E24" s="1078" t="s">
        <v>4287</v>
      </c>
      <c r="F24" s="1108" t="s">
        <v>4315</v>
      </c>
      <c r="G24" s="565" t="s">
        <v>4323</v>
      </c>
    </row>
    <row r="25" customFormat="false" ht="15" hidden="false" customHeight="true" outlineLevel="0" collapsed="false">
      <c r="B25" s="113" t="s">
        <v>4324</v>
      </c>
      <c r="C25" s="1111" t="n">
        <f aca="false">15</f>
        <v>15</v>
      </c>
      <c r="D25" s="1107" t="s">
        <v>4325</v>
      </c>
      <c r="E25" s="1078" t="s">
        <v>4302</v>
      </c>
      <c r="F25" s="1108" t="s">
        <v>4326</v>
      </c>
      <c r="G25" s="565" t="s">
        <v>4327</v>
      </c>
    </row>
    <row r="26" customFormat="false" ht="15" hidden="false" customHeight="true" outlineLevel="0" collapsed="false">
      <c r="B26" s="113" t="s">
        <v>4328</v>
      </c>
      <c r="C26" s="1112" t="n">
        <f aca="false">2.5</f>
        <v>2.5</v>
      </c>
      <c r="D26" s="1107" t="s">
        <v>4329</v>
      </c>
      <c r="E26" s="1078" t="s">
        <v>4330</v>
      </c>
      <c r="F26" s="1108" t="s">
        <v>4315</v>
      </c>
      <c r="G26" s="565" t="s">
        <v>4331</v>
      </c>
    </row>
    <row r="27" customFormat="false" ht="15" hidden="false" customHeight="true" outlineLevel="0" collapsed="false">
      <c r="B27" s="6"/>
      <c r="D27" s="1113" t="s">
        <v>4146</v>
      </c>
      <c r="F27" s="6"/>
    </row>
    <row r="28" customFormat="false" ht="15" hidden="false" customHeight="true" outlineLevel="0" collapsed="false">
      <c r="B28" s="6"/>
      <c r="F28" s="6"/>
    </row>
    <row r="29" customFormat="false" ht="15" hidden="false" customHeight="true" outlineLevel="0" collapsed="false">
      <c r="B29" s="6"/>
      <c r="F29" s="6"/>
    </row>
    <row r="30" customFormat="false" ht="33.75" hidden="false" customHeight="true" outlineLevel="0" collapsed="false">
      <c r="B30" s="125" t="s">
        <v>4332</v>
      </c>
      <c r="C30" s="125"/>
      <c r="D30" s="125"/>
      <c r="E30" s="125"/>
      <c r="F30" s="125"/>
      <c r="G30" s="125"/>
    </row>
    <row r="31" customFormat="false" ht="120" hidden="false" customHeight="true" outlineLevel="0" collapsed="false">
      <c r="B31" s="1085" t="s">
        <v>4333</v>
      </c>
      <c r="C31" s="1085"/>
      <c r="D31" s="1085"/>
      <c r="E31" s="1085"/>
      <c r="F31" s="1085"/>
      <c r="G31" s="1085"/>
    </row>
    <row r="32" customFormat="false" ht="18" hidden="false" customHeight="true" outlineLevel="0" collapsed="false">
      <c r="B32" s="1085"/>
      <c r="C32" s="1085"/>
      <c r="D32" s="1085"/>
      <c r="E32" s="1085"/>
      <c r="F32" s="1085"/>
      <c r="G32" s="1085"/>
    </row>
    <row r="33" customFormat="false" ht="18" hidden="false" customHeight="true" outlineLevel="0" collapsed="false">
      <c r="B33" s="1085"/>
      <c r="C33" s="1085"/>
      <c r="D33" s="1085"/>
      <c r="E33" s="1085"/>
      <c r="F33" s="1085"/>
      <c r="G33" s="1085"/>
    </row>
    <row r="34" customFormat="false" ht="18" hidden="false" customHeight="true" outlineLevel="0" collapsed="false">
      <c r="B34" s="1085"/>
      <c r="C34" s="1085"/>
      <c r="D34" s="1085"/>
      <c r="E34" s="1085"/>
      <c r="F34" s="1085"/>
      <c r="G34" s="1085"/>
    </row>
    <row r="35" customFormat="false" ht="18" hidden="false" customHeight="true" outlineLevel="0" collapsed="false">
      <c r="B35" s="1085"/>
      <c r="C35" s="1085"/>
      <c r="D35" s="1085"/>
      <c r="E35" s="1085"/>
      <c r="F35" s="1085"/>
      <c r="G35" s="1085"/>
    </row>
    <row r="36" customFormat="false" ht="18" hidden="false" customHeight="true" outlineLevel="0" collapsed="false">
      <c r="B36" s="1085"/>
      <c r="C36" s="1085"/>
      <c r="D36" s="1085"/>
      <c r="E36" s="1085"/>
      <c r="F36" s="1085"/>
      <c r="G36" s="1085"/>
    </row>
    <row r="37" customFormat="false" ht="18" hidden="false" customHeight="true" outlineLevel="0" collapsed="false">
      <c r="B37" s="1085"/>
      <c r="C37" s="1085"/>
      <c r="D37" s="1085"/>
      <c r="E37" s="1085"/>
      <c r="F37" s="1085"/>
      <c r="G37" s="1085"/>
    </row>
    <row r="38" customFormat="false" ht="18" hidden="false" customHeight="true" outlineLevel="0" collapsed="false">
      <c r="B38" s="1085"/>
      <c r="C38" s="1085"/>
      <c r="D38" s="1085"/>
      <c r="E38" s="1085"/>
      <c r="F38" s="1085"/>
      <c r="G38" s="1085"/>
    </row>
    <row r="39" customFormat="false" ht="18" hidden="false" customHeight="true" outlineLevel="0" collapsed="false">
      <c r="B39" s="1085"/>
      <c r="C39" s="1085"/>
      <c r="D39" s="1085"/>
      <c r="E39" s="1085"/>
      <c r="F39" s="1085"/>
      <c r="G39" s="1085"/>
    </row>
    <row r="40" customFormat="false" ht="18" hidden="false" customHeight="true" outlineLevel="0" collapsed="false">
      <c r="B40" s="1085"/>
      <c r="C40" s="1085"/>
      <c r="D40" s="1085"/>
      <c r="E40" s="1085"/>
      <c r="F40" s="1085"/>
      <c r="G40" s="1085"/>
    </row>
    <row r="41" customFormat="false" ht="18" hidden="false" customHeight="true" outlineLevel="0" collapsed="false">
      <c r="B41" s="1085"/>
      <c r="C41" s="1085"/>
      <c r="D41" s="1085"/>
      <c r="E41" s="1085"/>
      <c r="F41" s="1085"/>
      <c r="G41" s="1085"/>
    </row>
  </sheetData>
  <mergeCells count="7">
    <mergeCell ref="B2:H2"/>
    <mergeCell ref="I2:L2"/>
    <mergeCell ref="B3:L3"/>
    <mergeCell ref="B5:G5"/>
    <mergeCell ref="B19:G19"/>
    <mergeCell ref="B30:G30"/>
    <mergeCell ref="B31:G4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0"/>
    <col collapsed="false" customWidth="true" hidden="false" outlineLevel="0" max="12" min="7" style="0" width="9"/>
  </cols>
  <sheetData>
    <row r="1" customFormat="false" ht="3.75" hidden="false" customHeight="true" outlineLevel="0" collapsed="false">
      <c r="B1" s="876"/>
      <c r="C1" s="877"/>
      <c r="D1" s="877"/>
      <c r="E1" s="877"/>
      <c r="F1" s="876"/>
      <c r="G1" s="877"/>
      <c r="H1" s="877"/>
      <c r="I1" s="877"/>
      <c r="J1" s="877"/>
      <c r="K1" s="877"/>
      <c r="L1" s="877"/>
    </row>
    <row r="2" customFormat="false" ht="27.75" hidden="false" customHeight="true" outlineLevel="0" collapsed="false">
      <c r="B2" s="917" t="s">
        <v>4334</v>
      </c>
      <c r="C2" s="917"/>
      <c r="D2" s="917"/>
      <c r="E2" s="917"/>
      <c r="F2" s="917"/>
      <c r="G2" s="917"/>
      <c r="H2" s="917"/>
      <c r="I2" s="89" t="s">
        <v>3432</v>
      </c>
      <c r="J2" s="89"/>
      <c r="K2" s="89"/>
      <c r="L2" s="89"/>
    </row>
    <row r="3" customFormat="false" ht="33.75" hidden="false" customHeight="true" outlineLevel="0" collapsed="false">
      <c r="B3" s="90" t="s">
        <v>4335</v>
      </c>
      <c r="C3" s="90"/>
      <c r="D3" s="90"/>
      <c r="E3" s="90"/>
      <c r="F3" s="90"/>
      <c r="G3" s="90"/>
      <c r="H3" s="90"/>
      <c r="I3" s="90"/>
      <c r="J3" s="90"/>
      <c r="K3" s="90"/>
      <c r="L3" s="90"/>
    </row>
    <row r="4" customFormat="false" ht="15" hidden="false" customHeight="true" outlineLevel="0" collapsed="false">
      <c r="B4" s="6"/>
      <c r="F4" s="6"/>
    </row>
    <row r="5" customFormat="false" ht="33.75" hidden="false" customHeight="true" outlineLevel="0" collapsed="false">
      <c r="B5" s="96" t="s">
        <v>4336</v>
      </c>
      <c r="C5" s="96"/>
      <c r="D5" s="96"/>
      <c r="E5" s="96"/>
      <c r="F5" s="96"/>
    </row>
    <row r="6" customFormat="false" ht="31.5" hidden="false" customHeight="true" outlineLevel="0" collapsed="false">
      <c r="B6" s="97" t="s">
        <v>392</v>
      </c>
      <c r="C6" s="1114" t="s">
        <v>2444</v>
      </c>
      <c r="D6" s="1115" t="s">
        <v>203</v>
      </c>
      <c r="E6" s="1116" t="s">
        <v>2445</v>
      </c>
      <c r="F6" s="99" t="s">
        <v>1658</v>
      </c>
    </row>
    <row r="7" customFormat="false" ht="15" hidden="false" customHeight="true" outlineLevel="0" collapsed="false">
      <c r="B7" s="113" t="s">
        <v>4268</v>
      </c>
      <c r="C7" s="1117" t="n">
        <f aca="false">'Gaming · Drivers'!C7</f>
        <v>913.75</v>
      </c>
      <c r="D7" s="1118" t="n">
        <f aca="false">'Gaming · Drivers'!D7</f>
        <v>1075</v>
      </c>
      <c r="E7" s="1117" t="n">
        <f aca="false">'Gaming · Drivers'!E7</f>
        <v>1182.5</v>
      </c>
      <c r="F7" s="128" t="s">
        <v>4337</v>
      </c>
    </row>
    <row r="8" customFormat="false" ht="15" hidden="false" customHeight="true" outlineLevel="0" collapsed="false">
      <c r="B8" s="113" t="s">
        <v>3868</v>
      </c>
      <c r="C8" s="1119" t="n">
        <f aca="false">'Gaming · Drivers'!C296</f>
        <v>350</v>
      </c>
      <c r="D8" s="1120" t="n">
        <f aca="false">'Gaming · Drivers'!D8</f>
        <v>0.3</v>
      </c>
      <c r="E8" s="1119" t="n">
        <f aca="false">'Gaming · Drivers'!E8</f>
        <v>0.324</v>
      </c>
      <c r="F8" s="128" t="s">
        <v>4338</v>
      </c>
    </row>
    <row r="9" customFormat="false" ht="15" hidden="false" customHeight="true" outlineLevel="0" collapsed="false">
      <c r="B9" s="113" t="s">
        <v>3885</v>
      </c>
      <c r="C9" s="1119" t="n">
        <f aca="false">'Gaming · Drivers'!C297</f>
        <v>12</v>
      </c>
      <c r="D9" s="1120" t="n">
        <f aca="false">'Gaming · Drivers'!D9</f>
        <v>0.6</v>
      </c>
      <c r="E9" s="1119" t="n">
        <f aca="false">'Gaming · Drivers'!E9</f>
        <v>0.648</v>
      </c>
      <c r="F9" s="128" t="s">
        <v>4339</v>
      </c>
    </row>
    <row r="10" customFormat="false" ht="15" hidden="false" customHeight="true" outlineLevel="0" collapsed="false">
      <c r="B10" s="113" t="s">
        <v>4340</v>
      </c>
      <c r="C10" s="1121" t="n">
        <f aca="false">'Gaming · Drivers'!C298</f>
        <v>4</v>
      </c>
      <c r="D10" s="1122" t="n">
        <f aca="false">'Gaming · Drivers'!D10</f>
        <v>10.5</v>
      </c>
      <c r="E10" s="1121" t="n">
        <f aca="false">'Gaming · Drivers'!E10</f>
        <v>11.55</v>
      </c>
      <c r="F10" s="128" t="s">
        <v>4341</v>
      </c>
    </row>
    <row r="11" customFormat="false" ht="15" hidden="false" customHeight="true" outlineLevel="0" collapsed="false">
      <c r="B11" s="113" t="s">
        <v>4342</v>
      </c>
      <c r="C11" s="1119" t="n">
        <f aca="false">'Gaming · Drivers'!C299</f>
        <v>8</v>
      </c>
      <c r="D11" s="1120" t="n">
        <f aca="false">'Gaming · Drivers'!D11</f>
        <v>0.7</v>
      </c>
      <c r="E11" s="1119" t="n">
        <f aca="false">'Gaming · Drivers'!E11</f>
        <v>0.756</v>
      </c>
      <c r="F11" s="128" t="s">
        <v>4343</v>
      </c>
    </row>
    <row r="12" customFormat="false" ht="21.75" hidden="false" customHeight="true" outlineLevel="0" collapsed="false">
      <c r="B12" s="6"/>
      <c r="F12" s="6"/>
    </row>
    <row r="13" customFormat="false" ht="15" hidden="false" customHeight="true" outlineLevel="0" collapsed="false">
      <c r="B13" s="6"/>
      <c r="F13" s="6"/>
    </row>
    <row r="14" customFormat="false" ht="33.75" hidden="false" customHeight="true" outlineLevel="0" collapsed="false">
      <c r="B14" s="125" t="s">
        <v>4344</v>
      </c>
      <c r="C14" s="125"/>
      <c r="D14" s="125"/>
      <c r="E14" s="125"/>
      <c r="F14" s="125"/>
    </row>
    <row r="15" customFormat="false" ht="48.75" hidden="false" customHeight="true" outlineLevel="0" collapsed="false">
      <c r="B15" s="602" t="s">
        <v>4345</v>
      </c>
      <c r="C15" s="602"/>
      <c r="D15" s="602"/>
      <c r="E15" s="602"/>
      <c r="F15" s="602"/>
    </row>
    <row r="16" customFormat="false" ht="15" hidden="false" customHeight="true" outlineLevel="0" collapsed="false">
      <c r="B16" s="6"/>
      <c r="F16" s="6"/>
    </row>
    <row r="17" customFormat="false" ht="15" hidden="false" customHeight="true" outlineLevel="0" collapsed="false">
      <c r="B17" s="1123" t="s">
        <v>3458</v>
      </c>
      <c r="C17" s="1124" t="n">
        <f aca="false">'Gaming · Revenue'!D58*('Gaming · Drivers'!C7/'Gaming · Drivers'!D7)</f>
        <v>850848.5975</v>
      </c>
      <c r="D17" s="1125" t="n">
        <f aca="false">'Gaming · Revenue'!D58</f>
        <v>1000998.35</v>
      </c>
      <c r="E17" s="1126" t="n">
        <f aca="false">'Gaming · Revenue'!D58*('Gaming · Drivers'!E7/'Gaming · Drivers'!D7)</f>
        <v>1101098.185</v>
      </c>
      <c r="F17" s="1127" t="s">
        <v>4346</v>
      </c>
    </row>
    <row r="18" customFormat="false" ht="15" hidden="false" customHeight="true" outlineLevel="0" collapsed="false">
      <c r="B18" s="6"/>
      <c r="F18" s="6"/>
    </row>
    <row r="19" customFormat="false" ht="21.75" hidden="false" customHeight="true" outlineLevel="0" collapsed="false">
      <c r="B19" s="6"/>
      <c r="F19" s="6"/>
    </row>
    <row r="20" customFormat="false" ht="21.75" hidden="false" customHeight="true" outlineLevel="0" collapsed="false">
      <c r="B20" s="96" t="s">
        <v>4347</v>
      </c>
      <c r="C20" s="96"/>
      <c r="D20" s="96"/>
      <c r="E20" s="96"/>
      <c r="F20" s="96"/>
    </row>
    <row r="21" customFormat="false" ht="15" hidden="false" customHeight="true" outlineLevel="0" collapsed="false">
      <c r="B21" s="97" t="s">
        <v>738</v>
      </c>
      <c r="C21" s="1128" t="s">
        <v>962</v>
      </c>
      <c r="D21" s="1129" t="s">
        <v>137</v>
      </c>
      <c r="E21" s="1129" t="s">
        <v>2448</v>
      </c>
      <c r="F21" s="6"/>
    </row>
    <row r="22" customFormat="false" ht="15" hidden="false" customHeight="true" outlineLevel="0" collapsed="false">
      <c r="B22" s="1130" t="s">
        <v>2444</v>
      </c>
      <c r="C22" s="1131" t="n">
        <v>0.2</v>
      </c>
      <c r="D22" s="1132" t="n">
        <f aca="false">C17</f>
        <v>850848.5975</v>
      </c>
      <c r="E22" s="1132" t="n">
        <f aca="false">C22*D22</f>
        <v>170169.7195</v>
      </c>
      <c r="F22" s="6"/>
    </row>
    <row r="23" customFormat="false" ht="15" hidden="false" customHeight="true" outlineLevel="0" collapsed="false">
      <c r="B23" s="903" t="s">
        <v>203</v>
      </c>
      <c r="C23" s="1131" t="n">
        <v>0.55</v>
      </c>
      <c r="D23" s="1132" t="n">
        <f aca="false">D17</f>
        <v>1000998.35</v>
      </c>
      <c r="E23" s="1132" t="n">
        <f aca="false">C23*D23</f>
        <v>550549.0925</v>
      </c>
      <c r="F23" s="6"/>
    </row>
    <row r="24" customFormat="false" ht="15" hidden="false" customHeight="true" outlineLevel="0" collapsed="false">
      <c r="B24" s="1133" t="s">
        <v>2445</v>
      </c>
      <c r="C24" s="1131" t="n">
        <v>0.25</v>
      </c>
      <c r="D24" s="1132" t="n">
        <f aca="false">E17</f>
        <v>1101098.185</v>
      </c>
      <c r="E24" s="1132" t="n">
        <f aca="false">C24*D24</f>
        <v>275274.54625</v>
      </c>
      <c r="F24" s="6"/>
    </row>
    <row r="25" customFormat="false" ht="27.75" hidden="false" customHeight="true" outlineLevel="0" collapsed="false">
      <c r="B25" s="128" t="s">
        <v>342</v>
      </c>
      <c r="C25" s="1134" t="n">
        <f aca="false">SUM(C22:C24)</f>
        <v>1</v>
      </c>
      <c r="F25" s="6"/>
    </row>
    <row r="26" customFormat="false" ht="15" hidden="false" customHeight="true" outlineLevel="0" collapsed="false">
      <c r="B26" s="6"/>
      <c r="F26" s="6"/>
    </row>
    <row r="27" customFormat="false" ht="15" hidden="false" customHeight="true" outlineLevel="0" collapsed="false">
      <c r="B27" s="1135" t="s">
        <v>4348</v>
      </c>
      <c r="C27" s="1135"/>
      <c r="D27" s="1135"/>
      <c r="E27" s="1136" t="n">
        <f aca="false">SUM(E22:E24)</f>
        <v>995993.35825</v>
      </c>
      <c r="F27" s="6"/>
    </row>
    <row r="28" customFormat="false" ht="15" hidden="false" customHeight="true" outlineLevel="0" collapsed="false">
      <c r="B28" s="6"/>
      <c r="F28" s="6"/>
    </row>
    <row r="29" customFormat="false" ht="15" hidden="false" customHeight="true" outlineLevel="0" collapsed="false">
      <c r="B29" s="6"/>
      <c r="F29" s="6"/>
    </row>
    <row r="30" customFormat="false" ht="33.75" hidden="false" customHeight="true" outlineLevel="0" collapsed="false">
      <c r="B30" s="159" t="s">
        <v>4349</v>
      </c>
      <c r="F30" s="6"/>
    </row>
    <row r="31" customFormat="false" ht="48.75" hidden="false" customHeight="true" outlineLevel="0" collapsed="false">
      <c r="B31" s="6" t="s">
        <v>4350</v>
      </c>
      <c r="F31" s="6"/>
    </row>
    <row r="32" customFormat="false" ht="48.75" hidden="false" customHeight="true" outlineLevel="0" collapsed="false">
      <c r="B32" s="6" t="s">
        <v>4351</v>
      </c>
      <c r="F32" s="6"/>
    </row>
    <row r="33" customFormat="false" ht="33.75" hidden="false" customHeight="true" outlineLevel="0" collapsed="false">
      <c r="B33" s="6" t="s">
        <v>4352</v>
      </c>
      <c r="F33" s="6"/>
    </row>
    <row r="34" customFormat="false" ht="48.75" hidden="false" customHeight="true" outlineLevel="0" collapsed="false">
      <c r="B34" s="6" t="s">
        <v>4353</v>
      </c>
      <c r="F34" s="6"/>
    </row>
    <row r="35" customFormat="false" ht="48.75" hidden="false" customHeight="true" outlineLevel="0" collapsed="false">
      <c r="B35" s="6" t="s">
        <v>4354</v>
      </c>
      <c r="F35" s="6"/>
    </row>
    <row r="36" customFormat="false" ht="48.75" hidden="false" customHeight="true" outlineLevel="0" collapsed="false">
      <c r="B36" s="6" t="s">
        <v>4355</v>
      </c>
      <c r="F36" s="6"/>
    </row>
    <row r="37" customFormat="false" ht="48.75" hidden="false" customHeight="true" outlineLevel="0" collapsed="false">
      <c r="B37" s="6" t="s">
        <v>4356</v>
      </c>
      <c r="F37" s="6"/>
    </row>
    <row r="38" customFormat="false" ht="48.75" hidden="false" customHeight="true" outlineLevel="0" collapsed="false">
      <c r="B38" s="6" t="s">
        <v>4357</v>
      </c>
      <c r="F38" s="6"/>
    </row>
    <row r="39" customFormat="false" ht="48.75" hidden="false" customHeight="true" outlineLevel="0" collapsed="false">
      <c r="B39" s="6" t="s">
        <v>4358</v>
      </c>
      <c r="F39" s="6"/>
    </row>
    <row r="40" customFormat="false" ht="48.75" hidden="false" customHeight="true" outlineLevel="0" collapsed="false">
      <c r="B40" s="6" t="s">
        <v>4359</v>
      </c>
      <c r="F40" s="6"/>
    </row>
    <row r="41" customFormat="false" ht="48.75" hidden="false" customHeight="true" outlineLevel="0" collapsed="false">
      <c r="B41" s="6" t="s">
        <v>4360</v>
      </c>
      <c r="F41" s="6"/>
    </row>
    <row r="42" customFormat="false" ht="48.75" hidden="false" customHeight="true" outlineLevel="0" collapsed="false">
      <c r="B42" s="6" t="s">
        <v>4361</v>
      </c>
      <c r="F42" s="6"/>
    </row>
    <row r="43" customFormat="false" ht="48.75" hidden="false" customHeight="true" outlineLevel="0" collapsed="false">
      <c r="B43" s="6" t="s">
        <v>4362</v>
      </c>
      <c r="F43" s="6"/>
    </row>
    <row r="44" customFormat="false" ht="48.75" hidden="false" customHeight="true" outlineLevel="0" collapsed="false">
      <c r="B44" s="6" t="s">
        <v>4363</v>
      </c>
      <c r="F44" s="6"/>
    </row>
    <row r="45" customFormat="false" ht="48.75" hidden="false" customHeight="true" outlineLevel="0" collapsed="false">
      <c r="B45" s="6" t="s">
        <v>4364</v>
      </c>
      <c r="F45" s="6"/>
    </row>
  </sheetData>
  <mergeCells count="8">
    <mergeCell ref="B2:H2"/>
    <mergeCell ref="I2:L2"/>
    <mergeCell ref="B3:L3"/>
    <mergeCell ref="B5:F5"/>
    <mergeCell ref="B14:F14"/>
    <mergeCell ref="B15:F15"/>
    <mergeCell ref="B20:F20"/>
    <mergeCell ref="B27:D2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9"/>
    <col collapsed="false" customWidth="true" hidden="false" outlineLevel="0" max="11" min="9" style="0" width="20"/>
    <col collapsed="false" customWidth="true" hidden="false" outlineLevel="0" max="12" min="12" style="0" width="9"/>
  </cols>
  <sheetData>
    <row r="1" customFormat="false" ht="3.75" hidden="false" customHeight="true" outlineLevel="0" collapsed="false">
      <c r="B1" s="876"/>
      <c r="C1" s="877"/>
      <c r="D1" s="877"/>
      <c r="E1" s="877"/>
      <c r="F1" s="876"/>
      <c r="G1" s="877"/>
      <c r="H1" s="877"/>
      <c r="I1" s="877"/>
      <c r="J1" s="877"/>
      <c r="K1" s="877"/>
      <c r="L1" s="877"/>
    </row>
    <row r="2" customFormat="false" ht="27.75" hidden="false" customHeight="true" outlineLevel="0" collapsed="false">
      <c r="B2" s="917" t="s">
        <v>4365</v>
      </c>
      <c r="C2" s="917"/>
      <c r="D2" s="917"/>
      <c r="E2" s="917"/>
      <c r="F2" s="917"/>
      <c r="G2" s="917"/>
      <c r="H2" s="917"/>
      <c r="I2" s="89" t="s">
        <v>3432</v>
      </c>
      <c r="J2" s="89"/>
      <c r="K2" s="89"/>
      <c r="L2" s="89"/>
    </row>
    <row r="3" customFormat="false" ht="18" hidden="false" customHeight="true" outlineLevel="0" collapsed="false">
      <c r="B3" s="90" t="s">
        <v>4366</v>
      </c>
      <c r="C3" s="90"/>
      <c r="D3" s="90"/>
      <c r="E3" s="90"/>
      <c r="F3" s="90"/>
      <c r="G3" s="90"/>
      <c r="H3" s="90"/>
      <c r="I3" s="90"/>
      <c r="J3" s="90"/>
      <c r="K3" s="90"/>
      <c r="L3" s="90"/>
    </row>
    <row r="4" customFormat="false" ht="15" hidden="false" customHeight="true" outlineLevel="0" collapsed="false">
      <c r="B4" s="6"/>
      <c r="F4" s="6"/>
    </row>
    <row r="5" customFormat="false" ht="33.75" hidden="false" customHeight="true" outlineLevel="0" collapsed="false">
      <c r="B5" s="125" t="s">
        <v>4367</v>
      </c>
      <c r="C5" s="125"/>
      <c r="D5" s="125"/>
      <c r="E5" s="125"/>
      <c r="F5" s="125"/>
      <c r="G5" s="125"/>
    </row>
    <row r="6" customFormat="false" ht="48.75" hidden="false" customHeight="true" outlineLevel="0" collapsed="false">
      <c r="B6" s="602" t="s">
        <v>4368</v>
      </c>
      <c r="C6" s="602"/>
      <c r="D6" s="602"/>
      <c r="E6" s="602"/>
      <c r="F6" s="602"/>
      <c r="G6" s="602"/>
    </row>
    <row r="7" customFormat="false" ht="15" hidden="false" customHeight="true" outlineLevel="0" collapsed="false">
      <c r="B7" s="6"/>
      <c r="F7" s="6"/>
    </row>
    <row r="8" customFormat="false" ht="15" hidden="false" customHeight="true" outlineLevel="0" collapsed="false">
      <c r="B8" s="99" t="s">
        <v>392</v>
      </c>
      <c r="C8" s="1137" t="s">
        <v>2314</v>
      </c>
      <c r="D8" s="1138" t="s">
        <v>2315</v>
      </c>
      <c r="E8" s="1139" t="s">
        <v>608</v>
      </c>
      <c r="F8" s="1140" t="s">
        <v>2316</v>
      </c>
      <c r="G8" s="1141" t="s">
        <v>2317</v>
      </c>
    </row>
    <row r="9" customFormat="false" ht="120" hidden="false" customHeight="true" outlineLevel="0" collapsed="false">
      <c r="B9" s="999" t="s">
        <v>4268</v>
      </c>
      <c r="C9" s="1142" t="n">
        <f aca="false">((('Gaming · Drivers'!C117)*UNIVERSAL_DRIVERS!$C$33)*('Gaming · Drivers'!C18)*('Gaming · Drivers'!C36)*'Gaming · Drivers'!C37*52+(('Gaming · Drivers'!C117)*UNIVERSAL_DRIVERS!$C$33)*('Gaming · Drivers'!C18)*(1-('Gaming · Drivers'!C36))*'Gaming · Drivers'!C30*('Gaming · Drivers'!C39*(1-'Gaming · Drivers'!C41)+('Gaming · Drivers'!C40)*'Gaming · Drivers'!C41)*52+(('Gaming · Drivers'!C117)*UNIVERSAL_DRIVERS!$C$33)*('Gaming · Drivers'!C18)*'Gaming · Drivers'!C44*52)+'Gaming · Revenue'!D54+'Gaming · Revenue'!D55+'Gaming · Revenue'!D56</f>
        <v>866321.43</v>
      </c>
      <c r="D9" s="1132" t="n">
        <f aca="false">((('Gaming · Drivers'!C117)*UNIVERSAL_DRIVERS!$C$34)*('Gaming · Drivers'!C18)*('Gaming · Drivers'!C36)*'Gaming · Drivers'!C37*52+(('Gaming · Drivers'!C117)*UNIVERSAL_DRIVERS!$C$34)*('Gaming · Drivers'!C18)*(1-('Gaming · Drivers'!C36))*'Gaming · Drivers'!C30*('Gaming · Drivers'!C39*(1-'Gaming · Drivers'!C41)+('Gaming · Drivers'!C40)*'Gaming · Drivers'!C41)*52+(('Gaming · Drivers'!C117)*UNIVERSAL_DRIVERS!$C$34)*('Gaming · Drivers'!C18)*'Gaming · Drivers'!C44*52)+'Gaming · Revenue'!D54+'Gaming · Revenue'!D55+'Gaming · Revenue'!D56</f>
        <v>926659.89</v>
      </c>
      <c r="E9" s="1143" t="n">
        <f aca="false">((('Gaming · Drivers'!C117)*1)*('Gaming · Drivers'!C18)*('Gaming · Drivers'!C36)*'Gaming · Drivers'!C37*52+(('Gaming · Drivers'!C117)*1)*('Gaming · Drivers'!C18)*(1-('Gaming · Drivers'!C36))*'Gaming · Drivers'!C30*('Gaming · Drivers'!C39*(1-'Gaming · Drivers'!C41)+('Gaming · Drivers'!C40)*'Gaming · Drivers'!C41)*52+(('Gaming · Drivers'!C117)*1)*('Gaming · Drivers'!C18)*'Gaming · Drivers'!C44*52)+'Gaming · Revenue'!D54+'Gaming · Revenue'!D55+'Gaming · Revenue'!D56</f>
        <v>986998.35</v>
      </c>
      <c r="F9" s="1144" t="n">
        <f aca="false">((('Gaming · Drivers'!C117)*1.1)*('Gaming · Drivers'!C18)*('Gaming · Drivers'!C36)*'Gaming · Drivers'!C37*52+(('Gaming · Drivers'!C117)*1.1)*('Gaming · Drivers'!C18)*(1-('Gaming · Drivers'!C36))*'Gaming · Drivers'!C30*('Gaming · Drivers'!C39*(1-'Gaming · Drivers'!C41)+('Gaming · Drivers'!C40)*'Gaming · Drivers'!C41)*52+(('Gaming · Drivers'!C117)*1.1)*('Gaming · Drivers'!C18)*'Gaming · Drivers'!C44*52)+'Gaming · Revenue'!D54+'Gaming · Revenue'!D55+'Gaming · Revenue'!D56</f>
        <v>1047336.81</v>
      </c>
      <c r="G9" s="1145" t="n">
        <f aca="false">((('Gaming · Drivers'!C117)*1.2)*('Gaming · Drivers'!C18)*('Gaming · Drivers'!C36)*'Gaming · Drivers'!C37*52+(('Gaming · Drivers'!C117)*1.2)*('Gaming · Drivers'!C18)*(1-('Gaming · Drivers'!C36))*'Gaming · Drivers'!C30*('Gaming · Drivers'!C39*(1-'Gaming · Drivers'!C41)+('Gaming · Drivers'!C40)*'Gaming · Drivers'!C41)*52+(('Gaming · Drivers'!C117)*1.2)*('Gaming · Drivers'!C18)*'Gaming · Drivers'!C44*52)+'Gaming · Revenue'!D54+'Gaming · Revenue'!D55+'Gaming · Revenue'!D56</f>
        <v>1107675.27</v>
      </c>
    </row>
    <row r="10" customFormat="false" ht="120" hidden="false" customHeight="true" outlineLevel="0" collapsed="false">
      <c r="B10" s="999" t="s">
        <v>3868</v>
      </c>
      <c r="C10" s="1142" t="n">
        <f aca="false">(('Gaming · Drivers'!C117)*(('Gaming · Drivers'!C18)*UNIVERSAL_DRIVERS!$C$33)*('Gaming · Drivers'!C36)*'Gaming · Drivers'!C37*52+('Gaming · Drivers'!C117)*(('Gaming · Drivers'!C18)*UNIVERSAL_DRIVERS!$C$33)*(1-('Gaming · Drivers'!C36))*'Gaming · Drivers'!C30*('Gaming · Drivers'!C39*(1-'Gaming · Drivers'!C41)+('Gaming · Drivers'!C40)*'Gaming · Drivers'!C41)*52+('Gaming · Drivers'!C117)*(('Gaming · Drivers'!C18)*UNIVERSAL_DRIVERS!$C$33)*'Gaming · Drivers'!C44*52)+'Gaming · Revenue'!D54+'Gaming · Revenue'!D55+'Gaming · Revenue'!D56</f>
        <v>866321.43</v>
      </c>
      <c r="D10" s="1132" t="n">
        <f aca="false">(('Gaming · Drivers'!C117)*(('Gaming · Drivers'!C18)*UNIVERSAL_DRIVERS!$C$34)*('Gaming · Drivers'!C36)*'Gaming · Drivers'!C37*52+('Gaming · Drivers'!C117)*(('Gaming · Drivers'!C18)*UNIVERSAL_DRIVERS!$C$34)*(1-('Gaming · Drivers'!C36))*'Gaming · Drivers'!C30*('Gaming · Drivers'!C39*(1-'Gaming · Drivers'!C41)+('Gaming · Drivers'!C40)*'Gaming · Drivers'!C41)*52+('Gaming · Drivers'!C117)*(('Gaming · Drivers'!C18)*UNIVERSAL_DRIVERS!$C$34)*'Gaming · Drivers'!C44*52)+'Gaming · Revenue'!D54+'Gaming · Revenue'!D55+'Gaming · Revenue'!D56</f>
        <v>926659.89</v>
      </c>
      <c r="E10" s="1143" t="n">
        <f aca="false">(('Gaming · Drivers'!C117)*(('Gaming · Drivers'!C18)*1)*('Gaming · Drivers'!C36)*'Gaming · Drivers'!C37*52+('Gaming · Drivers'!C117)*(('Gaming · Drivers'!C18)*1)*(1-('Gaming · Drivers'!C36))*'Gaming · Drivers'!C30*('Gaming · Drivers'!C39*(1-'Gaming · Drivers'!C41)+('Gaming · Drivers'!C40)*'Gaming · Drivers'!C41)*52+('Gaming · Drivers'!C117)*(('Gaming · Drivers'!C18)*1)*'Gaming · Drivers'!C44*52)+'Gaming · Revenue'!D54+'Gaming · Revenue'!D55+'Gaming · Revenue'!D56</f>
        <v>986998.35</v>
      </c>
      <c r="F10" s="1144" t="n">
        <f aca="false">(('Gaming · Drivers'!C117)*(('Gaming · Drivers'!C18)*1.1)*('Gaming · Drivers'!C36)*'Gaming · Drivers'!C37*52+('Gaming · Drivers'!C117)*(('Gaming · Drivers'!C18)*1.1)*(1-('Gaming · Drivers'!C36))*'Gaming · Drivers'!C30*('Gaming · Drivers'!C39*(1-'Gaming · Drivers'!C41)+('Gaming · Drivers'!C40)*'Gaming · Drivers'!C41)*52+('Gaming · Drivers'!C117)*(('Gaming · Drivers'!C18)*1.1)*'Gaming · Drivers'!C44*52)+'Gaming · Revenue'!D54+'Gaming · Revenue'!D55+'Gaming · Revenue'!D56</f>
        <v>1047336.81</v>
      </c>
      <c r="G10" s="1145" t="n">
        <f aca="false">(('Gaming · Drivers'!C117)*(('Gaming · Drivers'!C18)*1.2)*('Gaming · Drivers'!C36)*'Gaming · Drivers'!C37*52+('Gaming · Drivers'!C117)*(('Gaming · Drivers'!C18)*1.2)*(1-('Gaming · Drivers'!C36))*'Gaming · Drivers'!C30*('Gaming · Drivers'!C39*(1-'Gaming · Drivers'!C41)+('Gaming · Drivers'!C40)*'Gaming · Drivers'!C41)*52+('Gaming · Drivers'!C117)*(('Gaming · Drivers'!C18)*1.2)*'Gaming · Drivers'!C44*52)+'Gaming · Revenue'!D54+'Gaming · Revenue'!D55+'Gaming · Revenue'!D56</f>
        <v>1107675.27</v>
      </c>
    </row>
    <row r="11" customFormat="false" ht="120" hidden="false" customHeight="true" outlineLevel="0" collapsed="false">
      <c r="B11" s="999" t="s">
        <v>4369</v>
      </c>
      <c r="C11" s="1142" t="n">
        <f aca="false">(('Gaming · Drivers'!C117)*('Gaming · Drivers'!C18)*(MIN(1,('Gaming · Drivers'!C36)*UNIVERSAL_DRIVERS!$C$33))*'Gaming · Drivers'!C37*52+('Gaming · Drivers'!C117)*('Gaming · Drivers'!C18)*(1-(MIN(1,('Gaming · Drivers'!C36)*UNIVERSAL_DRIVERS!$C$33)))*'Gaming · Drivers'!C30*('Gaming · Drivers'!C39*(1-'Gaming · Drivers'!C41)+('Gaming · Drivers'!C40)*'Gaming · Drivers'!C41)*52+('Gaming · Drivers'!C117)*('Gaming · Drivers'!C18)*'Gaming · Drivers'!C44*52)+'Gaming · Revenue'!D54+'Gaming · Revenue'!D55+'Gaming · Revenue'!D56</f>
        <v>970798.53</v>
      </c>
      <c r="D11" s="1132" t="n">
        <f aca="false">(('Gaming · Drivers'!C117)*('Gaming · Drivers'!C18)*(MIN(1,('Gaming · Drivers'!C36)*UNIVERSAL_DRIVERS!$C$34))*'Gaming · Drivers'!C37*52+('Gaming · Drivers'!C117)*('Gaming · Drivers'!C18)*(1-(MIN(1,('Gaming · Drivers'!C36)*UNIVERSAL_DRIVERS!$C$34)))*'Gaming · Drivers'!C30*('Gaming · Drivers'!C39*(1-'Gaming · Drivers'!C41)+('Gaming · Drivers'!C40)*'Gaming · Drivers'!C41)*52+('Gaming · Drivers'!C117)*('Gaming · Drivers'!C18)*'Gaming · Drivers'!C44*52)+'Gaming · Revenue'!D54+'Gaming · Revenue'!D55+'Gaming · Revenue'!D56</f>
        <v>978898.44</v>
      </c>
      <c r="E11" s="1143" t="n">
        <f aca="false">(('Gaming · Drivers'!C117)*('Gaming · Drivers'!C18)*(MIN(1,('Gaming · Drivers'!C36)*1))*'Gaming · Drivers'!C37*52+('Gaming · Drivers'!C117)*('Gaming · Drivers'!C18)*(1-(MIN(1,('Gaming · Drivers'!C36)*1)))*'Gaming · Drivers'!C30*('Gaming · Drivers'!C39*(1-'Gaming · Drivers'!C41)+('Gaming · Drivers'!C40)*'Gaming · Drivers'!C41)*52+('Gaming · Drivers'!C117)*('Gaming · Drivers'!C18)*'Gaming · Drivers'!C44*52)+'Gaming · Revenue'!D54+'Gaming · Revenue'!D55+'Gaming · Revenue'!D56</f>
        <v>986998.35</v>
      </c>
      <c r="F11" s="1144" t="n">
        <f aca="false">(('Gaming · Drivers'!C117)*('Gaming · Drivers'!C18)*(MIN(1,('Gaming · Drivers'!C36)*1.1))*'Gaming · Drivers'!C37*52+('Gaming · Drivers'!C117)*('Gaming · Drivers'!C18)*(1-(MIN(1,('Gaming · Drivers'!C36)*1.1)))*'Gaming · Drivers'!C30*('Gaming · Drivers'!C39*(1-'Gaming · Drivers'!C41)+('Gaming · Drivers'!C40)*'Gaming · Drivers'!C41)*52+('Gaming · Drivers'!C117)*('Gaming · Drivers'!C18)*'Gaming · Drivers'!C44*52)+'Gaming · Revenue'!D54+'Gaming · Revenue'!D55+'Gaming · Revenue'!D56</f>
        <v>995098.26</v>
      </c>
      <c r="G11" s="1145" t="n">
        <f aca="false">(('Gaming · Drivers'!C117)*('Gaming · Drivers'!C18)*(MIN(1,('Gaming · Drivers'!C36)*1.2))*'Gaming · Drivers'!C37*52+('Gaming · Drivers'!C117)*('Gaming · Drivers'!C18)*(1-(MIN(1,('Gaming · Drivers'!C36)*1.2)))*'Gaming · Drivers'!C30*('Gaming · Drivers'!C39*(1-'Gaming · Drivers'!C41)+('Gaming · Drivers'!C40)*'Gaming · Drivers'!C41)*52+('Gaming · Drivers'!C117)*('Gaming · Drivers'!C18)*'Gaming · Drivers'!C44*52)+'Gaming · Revenue'!D54+'Gaming · Revenue'!D55+'Gaming · Revenue'!D56</f>
        <v>1003198.17</v>
      </c>
    </row>
    <row r="12" customFormat="false" ht="120" hidden="false" customHeight="true" outlineLevel="0" collapsed="false">
      <c r="B12" s="999" t="s">
        <v>4340</v>
      </c>
      <c r="C12" s="1142" t="n">
        <f aca="false">(('Gaming · Drivers'!C117)*('Gaming · Drivers'!C18)*('Gaming · Drivers'!C36)*'Gaming · Drivers'!C37*52+('Gaming · Drivers'!C117)*('Gaming · Drivers'!C18)*(1-('Gaming · Drivers'!C36))*'Gaming · Drivers'!C30*('Gaming · Drivers'!C39*(1-'Gaming · Drivers'!C41)+(('Gaming · Drivers'!C40)*UNIVERSAL_DRIVERS!$C$33)*'Gaming · Drivers'!C41)*52+('Gaming · Drivers'!C117)*('Gaming · Drivers'!C18)*'Gaming · Drivers'!C44*52)+'Gaming · Revenue'!D54+'Gaming · Revenue'!D55+'Gaming · Revenue'!D56</f>
        <v>961360.374</v>
      </c>
      <c r="D12" s="1132" t="n">
        <f aca="false">(('Gaming · Drivers'!C117)*('Gaming · Drivers'!C18)*('Gaming · Drivers'!C36)*'Gaming · Drivers'!C37*52+('Gaming · Drivers'!C117)*('Gaming · Drivers'!C18)*(1-('Gaming · Drivers'!C36))*'Gaming · Drivers'!C30*('Gaming · Drivers'!C39*(1-'Gaming · Drivers'!C41)+(('Gaming · Drivers'!C40)*UNIVERSAL_DRIVERS!$C$34)*'Gaming · Drivers'!C41)*52+('Gaming · Drivers'!C117)*('Gaming · Drivers'!C18)*'Gaming · Drivers'!C44*52)+'Gaming · Revenue'!D54+'Gaming · Revenue'!D55+'Gaming · Revenue'!D56</f>
        <v>974179.362</v>
      </c>
      <c r="E12" s="1143" t="n">
        <f aca="false">(('Gaming · Drivers'!C117)*('Gaming · Drivers'!C18)*('Gaming · Drivers'!C36)*'Gaming · Drivers'!C37*52+('Gaming · Drivers'!C117)*('Gaming · Drivers'!C18)*(1-('Gaming · Drivers'!C36))*'Gaming · Drivers'!C30*('Gaming · Drivers'!C39*(1-'Gaming · Drivers'!C41)+(('Gaming · Drivers'!C40)*1)*'Gaming · Drivers'!C41)*52+('Gaming · Drivers'!C117)*('Gaming · Drivers'!C18)*'Gaming · Drivers'!C44*52)+'Gaming · Revenue'!D54+'Gaming · Revenue'!D55+'Gaming · Revenue'!D56</f>
        <v>986998.35</v>
      </c>
      <c r="F12" s="1144" t="n">
        <f aca="false">(('Gaming · Drivers'!C117)*('Gaming · Drivers'!C18)*('Gaming · Drivers'!C36)*'Gaming · Drivers'!C37*52+('Gaming · Drivers'!C117)*('Gaming · Drivers'!C18)*(1-('Gaming · Drivers'!C36))*'Gaming · Drivers'!C30*('Gaming · Drivers'!C39*(1-'Gaming · Drivers'!C41)+(('Gaming · Drivers'!C40)*1.1)*'Gaming · Drivers'!C41)*52+('Gaming · Drivers'!C117)*('Gaming · Drivers'!C18)*'Gaming · Drivers'!C44*52)+'Gaming · Revenue'!D54+'Gaming · Revenue'!D55+'Gaming · Revenue'!D56</f>
        <v>999817.338</v>
      </c>
      <c r="G12" s="1145" t="n">
        <f aca="false">(('Gaming · Drivers'!C117)*('Gaming · Drivers'!C18)*('Gaming · Drivers'!C36)*'Gaming · Drivers'!C37*52+('Gaming · Drivers'!C117)*('Gaming · Drivers'!C18)*(1-('Gaming · Drivers'!C36))*'Gaming · Drivers'!C30*('Gaming · Drivers'!C39*(1-'Gaming · Drivers'!C41)+(('Gaming · Drivers'!C40)*1.2)*'Gaming · Drivers'!C41)*52+('Gaming · Drivers'!C117)*('Gaming · Drivers'!C18)*'Gaming · Drivers'!C44*52)+'Gaming · Revenue'!D54+'Gaming · Revenue'!D55+'Gaming · Revenue'!D56</f>
        <v>1012636.326</v>
      </c>
    </row>
    <row r="13" customFormat="false" ht="15" hidden="false" customHeight="true" outlineLevel="0" collapsed="false">
      <c r="B13" s="6"/>
      <c r="F13" s="6"/>
    </row>
    <row r="14" customFormat="false" ht="15" hidden="false" customHeight="true" outlineLevel="0" collapsed="false">
      <c r="B14" s="128" t="s">
        <v>4370</v>
      </c>
      <c r="C14" s="1146" t="n">
        <f aca="false">C9/E9-1</f>
        <v>-0.122266587375754</v>
      </c>
      <c r="F14" s="6"/>
      <c r="G14" s="1147" t="n">
        <f aca="false">G9/E9-1</f>
        <v>0.122266587375754</v>
      </c>
    </row>
    <row r="15" customFormat="false" ht="15" hidden="false" customHeight="true" outlineLevel="0" collapsed="false">
      <c r="B15" s="6"/>
      <c r="F15" s="6"/>
    </row>
    <row r="16" customFormat="false" ht="120" hidden="false" customHeight="true" outlineLevel="0" collapsed="false">
      <c r="B16" s="1148" t="s">
        <v>4371</v>
      </c>
      <c r="C16" s="1148"/>
      <c r="D16" s="1148"/>
      <c r="E16" s="1148"/>
      <c r="F16" s="1148"/>
      <c r="G16" s="1148"/>
    </row>
    <row r="17" customFormat="false" ht="21.75" hidden="false" customHeight="true" outlineLevel="0" collapsed="false">
      <c r="B17" s="1148"/>
      <c r="C17" s="1148"/>
      <c r="D17" s="1148"/>
      <c r="E17" s="1148"/>
      <c r="F17" s="1148"/>
      <c r="G17" s="1148"/>
    </row>
    <row r="18" customFormat="false" ht="27.75" hidden="false" customHeight="true" outlineLevel="0" collapsed="false">
      <c r="B18" s="1148"/>
      <c r="C18" s="1148"/>
      <c r="D18" s="1148"/>
      <c r="E18" s="1148"/>
      <c r="F18" s="1148"/>
      <c r="G18" s="1148"/>
    </row>
    <row r="19" customFormat="false" ht="15" hidden="false" customHeight="true" outlineLevel="0" collapsed="false">
      <c r="B19" s="1148"/>
      <c r="C19" s="1148"/>
      <c r="D19" s="1148"/>
      <c r="E19" s="1148"/>
      <c r="F19" s="1148"/>
      <c r="G19" s="1148"/>
    </row>
    <row r="20" customFormat="false" ht="15" hidden="false" customHeight="true" outlineLevel="0" collapsed="false">
      <c r="B20" s="1148"/>
      <c r="C20" s="1148"/>
      <c r="D20" s="1148"/>
      <c r="E20" s="1148"/>
      <c r="F20" s="1148"/>
      <c r="G20" s="1148"/>
    </row>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sheetData>
  <mergeCells count="6">
    <mergeCell ref="B2:H2"/>
    <mergeCell ref="I2:L2"/>
    <mergeCell ref="B3:L3"/>
    <mergeCell ref="B5:G5"/>
    <mergeCell ref="B6:G6"/>
    <mergeCell ref="B16:G2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15"/>
    <col collapsed="false" customWidth="true" hidden="false" outlineLevel="0" max="6" min="5" style="0" width="20"/>
    <col collapsed="false" customWidth="true" hidden="false" outlineLevel="0" max="7" min="7" style="0" width="10"/>
    <col collapsed="false" customWidth="true" hidden="false" outlineLevel="0" max="12" min="8" style="0" width="9"/>
  </cols>
  <sheetData>
    <row r="1" customFormat="false" ht="3.75" hidden="false" customHeight="true" outlineLevel="0" collapsed="false">
      <c r="B1" s="876"/>
      <c r="C1" s="877"/>
      <c r="D1" s="877"/>
      <c r="E1" s="876"/>
      <c r="F1" s="877"/>
      <c r="G1" s="877"/>
      <c r="H1" s="877"/>
      <c r="I1" s="877"/>
      <c r="J1" s="877"/>
      <c r="K1" s="877"/>
      <c r="L1" s="877"/>
    </row>
    <row r="2" customFormat="false" ht="27.75" hidden="false" customHeight="true" outlineLevel="0" collapsed="false">
      <c r="B2" s="917" t="s">
        <v>4372</v>
      </c>
      <c r="C2" s="917"/>
      <c r="D2" s="917"/>
      <c r="E2" s="917"/>
      <c r="F2" s="917"/>
      <c r="G2" s="917"/>
      <c r="H2" s="917"/>
      <c r="I2" s="89" t="s">
        <v>3432</v>
      </c>
      <c r="J2" s="89"/>
      <c r="K2" s="89"/>
      <c r="L2" s="89"/>
    </row>
    <row r="3" customFormat="false" ht="33.75" hidden="false" customHeight="true" outlineLevel="0" collapsed="false">
      <c r="B3" s="90" t="s">
        <v>4373</v>
      </c>
      <c r="C3" s="90"/>
      <c r="D3" s="90"/>
      <c r="E3" s="90"/>
      <c r="F3" s="90"/>
      <c r="G3" s="90"/>
      <c r="H3" s="90"/>
      <c r="I3" s="90"/>
      <c r="J3" s="90"/>
      <c r="K3" s="90"/>
      <c r="L3" s="90"/>
    </row>
    <row r="4" customFormat="false" ht="15" hidden="false" customHeight="true" outlineLevel="0" collapsed="false">
      <c r="B4" s="6"/>
      <c r="E4" s="6"/>
    </row>
    <row r="5" customFormat="false" ht="21.75" hidden="false" customHeight="true" outlineLevel="0" collapsed="false">
      <c r="B5" s="96" t="s">
        <v>4374</v>
      </c>
      <c r="C5" s="96"/>
      <c r="D5" s="96"/>
      <c r="E5" s="96"/>
      <c r="F5" s="96"/>
    </row>
    <row r="6" customFormat="false" ht="31.5" hidden="false" customHeight="true" outlineLevel="0" collapsed="false">
      <c r="B6" s="880" t="s">
        <v>206</v>
      </c>
      <c r="C6" s="881" t="s">
        <v>4375</v>
      </c>
      <c r="D6" s="881" t="s">
        <v>4140</v>
      </c>
      <c r="E6" s="880" t="s">
        <v>4141</v>
      </c>
      <c r="F6" s="881" t="s">
        <v>395</v>
      </c>
    </row>
    <row r="7" customFormat="false" ht="15" hidden="false" customHeight="true" outlineLevel="0" collapsed="false">
      <c r="B7" s="113" t="s">
        <v>4376</v>
      </c>
      <c r="C7" s="1091" t="n">
        <f aca="false">'Gaming · Drivers'!C296</f>
        <v>350</v>
      </c>
      <c r="D7" s="1078" t="s">
        <v>4377</v>
      </c>
      <c r="E7" s="6"/>
      <c r="F7" s="985" t="s">
        <v>4378</v>
      </c>
    </row>
    <row r="8" customFormat="false" ht="15" hidden="false" customHeight="true" outlineLevel="0" collapsed="false">
      <c r="B8" s="113" t="s">
        <v>4379</v>
      </c>
      <c r="C8" s="1091" t="n">
        <f aca="false">'Gaming · Drivers'!C297</f>
        <v>12</v>
      </c>
      <c r="D8" s="1078" t="s">
        <v>4380</v>
      </c>
      <c r="E8" s="6"/>
      <c r="F8" s="985" t="s">
        <v>4381</v>
      </c>
    </row>
    <row r="9" customFormat="false" ht="15" hidden="false" customHeight="true" outlineLevel="0" collapsed="false">
      <c r="B9" s="113" t="s">
        <v>3199</v>
      </c>
      <c r="C9" s="1091" t="n">
        <f aca="false">'Gaming · Drivers'!C15</f>
        <v>1075</v>
      </c>
      <c r="D9" s="1078" t="s">
        <v>4382</v>
      </c>
      <c r="E9" s="6"/>
      <c r="F9" s="985" t="s">
        <v>4383</v>
      </c>
    </row>
    <row r="10" customFormat="false" ht="15" hidden="false" customHeight="true" outlineLevel="0" collapsed="false">
      <c r="B10" s="113" t="s">
        <v>4384</v>
      </c>
      <c r="C10" s="1091" t="n">
        <f aca="false">'Gaming · Drivers'!C79</f>
        <v>18</v>
      </c>
      <c r="D10" s="1078" t="s">
        <v>4385</v>
      </c>
      <c r="E10" s="6"/>
      <c r="F10" s="985" t="s">
        <v>4386</v>
      </c>
    </row>
    <row r="11" customFormat="false" ht="15" hidden="false" customHeight="true" outlineLevel="0" collapsed="false">
      <c r="B11" s="113" t="s">
        <v>4387</v>
      </c>
      <c r="C11" s="1062" t="n">
        <f aca="false">'Gaming · Costs'!C35/'Gaming · Revenue'!D58</f>
        <v>0.532975401033378</v>
      </c>
      <c r="D11" s="1078" t="s">
        <v>4388</v>
      </c>
      <c r="E11" s="6"/>
      <c r="F11" s="985" t="s">
        <v>4389</v>
      </c>
    </row>
    <row r="12" customFormat="false" ht="15" hidden="false" customHeight="true" outlineLevel="0" collapsed="false">
      <c r="B12" s="6"/>
      <c r="E12" s="6"/>
    </row>
    <row r="13" customFormat="false" ht="15" hidden="false" customHeight="true" outlineLevel="0" collapsed="false">
      <c r="B13" s="6"/>
      <c r="E13" s="6"/>
    </row>
    <row r="14" customFormat="false" ht="33.75" hidden="false" customHeight="true" outlineLevel="0" collapsed="false">
      <c r="B14" s="96" t="s">
        <v>4390</v>
      </c>
      <c r="C14" s="96"/>
      <c r="D14" s="96"/>
      <c r="E14" s="96"/>
      <c r="F14" s="96"/>
    </row>
    <row r="15" customFormat="false" ht="31.5" hidden="false" customHeight="true" outlineLevel="0" collapsed="false">
      <c r="B15" s="880" t="s">
        <v>4391</v>
      </c>
      <c r="C15" s="881" t="s">
        <v>4375</v>
      </c>
      <c r="D15" s="881" t="s">
        <v>4392</v>
      </c>
      <c r="E15" s="880" t="s">
        <v>4393</v>
      </c>
      <c r="F15" s="881" t="s">
        <v>225</v>
      </c>
    </row>
    <row r="16" customFormat="false" ht="15" hidden="false" customHeight="true" outlineLevel="0" collapsed="false">
      <c r="B16" s="113" t="s">
        <v>4394</v>
      </c>
      <c r="C16" s="1109" t="n">
        <f aca="false">'Gaming · Drivers'!C39</f>
        <v>8</v>
      </c>
      <c r="D16" s="1078" t="s">
        <v>4395</v>
      </c>
      <c r="E16" s="1108" t="s">
        <v>4396</v>
      </c>
      <c r="F16" s="985" t="s">
        <v>4397</v>
      </c>
    </row>
    <row r="17" customFormat="false" ht="15" hidden="false" customHeight="true" outlineLevel="0" collapsed="false">
      <c r="B17" s="113" t="s">
        <v>4398</v>
      </c>
      <c r="C17" s="1109" t="n">
        <f aca="false">'Gaming · Drivers'!C40</f>
        <v>10.5</v>
      </c>
      <c r="D17" s="1078" t="s">
        <v>4399</v>
      </c>
      <c r="E17" s="1108" t="s">
        <v>4400</v>
      </c>
      <c r="F17" s="985" t="s">
        <v>4401</v>
      </c>
    </row>
    <row r="18" customFormat="false" ht="15" hidden="false" customHeight="true" outlineLevel="0" collapsed="false">
      <c r="B18" s="113" t="s">
        <v>4402</v>
      </c>
      <c r="C18" s="1109" t="n">
        <f aca="false">'Gaming · Drivers'!C37</f>
        <v>25</v>
      </c>
      <c r="D18" s="1078" t="s">
        <v>4403</v>
      </c>
      <c r="E18" s="1108" t="s">
        <v>4404</v>
      </c>
      <c r="F18" s="985" t="s">
        <v>4405</v>
      </c>
      <c r="J18" s="1013" t="s">
        <v>4406</v>
      </c>
    </row>
    <row r="19" customFormat="false" ht="15" hidden="false" customHeight="true" outlineLevel="0" collapsed="false">
      <c r="B19" s="113" t="s">
        <v>4407</v>
      </c>
      <c r="C19" s="1109" t="n">
        <f aca="false">'Gaming · Drivers'!C60</f>
        <v>2.5</v>
      </c>
      <c r="D19" s="1078" t="s">
        <v>4408</v>
      </c>
      <c r="E19" s="1108" t="s">
        <v>4409</v>
      </c>
      <c r="F19" s="985" t="s">
        <v>4410</v>
      </c>
    </row>
    <row r="20" customFormat="false" ht="15" hidden="false" customHeight="true" outlineLevel="0" collapsed="false">
      <c r="B20" s="113" t="s">
        <v>4411</v>
      </c>
      <c r="C20" s="1109" t="n">
        <f aca="false">'Gaming · Drivers'!C61</f>
        <v>5</v>
      </c>
      <c r="D20" s="1078" t="s">
        <v>4412</v>
      </c>
      <c r="E20" s="1108" t="s">
        <v>4413</v>
      </c>
      <c r="F20" s="985" t="s">
        <v>4414</v>
      </c>
    </row>
    <row r="21" customFormat="false" ht="15" hidden="false" customHeight="true" outlineLevel="0" collapsed="false">
      <c r="B21" s="113" t="s">
        <v>4415</v>
      </c>
      <c r="C21" s="1109" t="n">
        <f aca="false">'Gaming · Drivers'!C58</f>
        <v>18</v>
      </c>
      <c r="D21" s="1078" t="s">
        <v>4396</v>
      </c>
      <c r="E21" s="1108" t="s">
        <v>4416</v>
      </c>
      <c r="F21" s="985" t="s">
        <v>4417</v>
      </c>
    </row>
    <row r="22" customFormat="false" ht="15" hidden="false" customHeight="true" outlineLevel="0" collapsed="false">
      <c r="B22" s="113" t="s">
        <v>4418</v>
      </c>
      <c r="C22" s="1109" t="n">
        <f aca="false">'Gaming · Drivers'!C70</f>
        <v>1.5</v>
      </c>
      <c r="D22" s="1078" t="s">
        <v>4419</v>
      </c>
      <c r="E22" s="1108" t="s">
        <v>4420</v>
      </c>
      <c r="F22" s="985" t="s">
        <v>4421</v>
      </c>
    </row>
    <row r="23" customFormat="false" ht="15" hidden="false" customHeight="true" outlineLevel="0" collapsed="false">
      <c r="B23" s="113" t="s">
        <v>4422</v>
      </c>
      <c r="C23" s="1109" t="n">
        <f aca="false">'Gaming · Drivers'!C76</f>
        <v>350</v>
      </c>
      <c r="D23" s="1078" t="s">
        <v>4423</v>
      </c>
      <c r="E23" s="1108" t="s">
        <v>4424</v>
      </c>
      <c r="F23" s="985" t="s">
        <v>4425</v>
      </c>
    </row>
    <row r="24" customFormat="false" ht="15" hidden="false" customHeight="true" outlineLevel="0" collapsed="false">
      <c r="B24" s="6"/>
      <c r="E24" s="6"/>
    </row>
    <row r="25" customFormat="false" ht="15" hidden="false" customHeight="true" outlineLevel="0" collapsed="false">
      <c r="B25" s="6"/>
      <c r="E25" s="6"/>
    </row>
    <row r="26" customFormat="false" ht="21.75" hidden="false" customHeight="true" outlineLevel="0" collapsed="false">
      <c r="B26" s="125" t="s">
        <v>4426</v>
      </c>
      <c r="C26" s="125"/>
      <c r="D26" s="125"/>
      <c r="E26" s="125"/>
      <c r="F26" s="125"/>
    </row>
    <row r="27" customFormat="false" ht="15" hidden="false" customHeight="true" outlineLevel="0" collapsed="false">
      <c r="B27" s="880" t="s">
        <v>206</v>
      </c>
      <c r="C27" s="881" t="s">
        <v>4427</v>
      </c>
      <c r="D27" s="881" t="s">
        <v>4428</v>
      </c>
      <c r="E27" s="880" t="s">
        <v>1658</v>
      </c>
      <c r="F27" s="880"/>
    </row>
    <row r="28" customFormat="false" ht="15" hidden="false" customHeight="true" outlineLevel="0" collapsed="false">
      <c r="B28" s="113" t="s">
        <v>4429</v>
      </c>
      <c r="C28" s="1056" t="n">
        <f aca="false">'Gaming · Revenue'!D58/('Gaming · Drivers'!C15*52)</f>
        <v>17.9069472271914</v>
      </c>
      <c r="D28" s="1078" t="s">
        <v>4144</v>
      </c>
      <c r="E28" s="134" t="s">
        <v>4430</v>
      </c>
      <c r="F28" s="134"/>
    </row>
    <row r="29" customFormat="false" ht="15" hidden="false" customHeight="true" outlineLevel="0" collapsed="false">
      <c r="B29" s="113" t="s">
        <v>4431</v>
      </c>
      <c r="C29" s="1056" t="n">
        <f aca="false">'Gaming · Revenue'!D58/2000</f>
        <v>500.499175</v>
      </c>
      <c r="D29" s="1078" t="s">
        <v>4432</v>
      </c>
      <c r="E29" s="134" t="s">
        <v>4433</v>
      </c>
      <c r="F29" s="134"/>
    </row>
    <row r="30" customFormat="false" ht="15" hidden="false" customHeight="true" outlineLevel="0" collapsed="false">
      <c r="B30" s="113" t="s">
        <v>4434</v>
      </c>
      <c r="C30" s="1056" t="n">
        <f aca="false">'Gaming · Revenue'!D58/'Gaming · Drivers'!C79</f>
        <v>55611.0194444444</v>
      </c>
      <c r="D30" s="1078" t="s">
        <v>4435</v>
      </c>
      <c r="E30" s="134" t="s">
        <v>4436</v>
      </c>
      <c r="F30" s="134"/>
    </row>
    <row r="31" customFormat="false" ht="15" hidden="false" customHeight="true" outlineLevel="0" collapsed="false">
      <c r="B31" s="113" t="s">
        <v>4437</v>
      </c>
      <c r="C31" s="1149" t="n">
        <f aca="false">('Gaming · Drivers'!C32+'Gaming · Drivers'!C54+'Gaming · Drivers'!C69)/'Gaming · Drivers'!C15</f>
        <v>3.42</v>
      </c>
      <c r="D31" s="1078" t="s">
        <v>4438</v>
      </c>
      <c r="E31" s="134" t="s">
        <v>4439</v>
      </c>
      <c r="F31" s="134"/>
    </row>
    <row r="32" customFormat="false" ht="15" hidden="false" customHeight="true" outlineLevel="0" collapsed="false">
      <c r="B32" s="6"/>
      <c r="E32" s="6"/>
    </row>
    <row r="33" customFormat="false" ht="15" hidden="false" customHeight="true" outlineLevel="0" collapsed="false">
      <c r="B33" s="6"/>
      <c r="E33" s="6"/>
    </row>
    <row r="34" customFormat="false" ht="33.75" hidden="false" customHeight="true" outlineLevel="0" collapsed="false">
      <c r="B34" s="96" t="s">
        <v>4440</v>
      </c>
      <c r="C34" s="96"/>
      <c r="D34" s="96"/>
      <c r="E34" s="96"/>
      <c r="F34" s="96"/>
      <c r="G34" s="96"/>
    </row>
    <row r="35" customFormat="false" ht="31.5" hidden="false" customHeight="true" outlineLevel="0" collapsed="false">
      <c r="B35" s="880" t="s">
        <v>206</v>
      </c>
      <c r="C35" s="881" t="s">
        <v>4375</v>
      </c>
      <c r="D35" s="881" t="s">
        <v>4441</v>
      </c>
      <c r="E35" s="880" t="s">
        <v>4442</v>
      </c>
      <c r="F35" s="881" t="s">
        <v>1658</v>
      </c>
      <c r="G35" s="1150" t="s">
        <v>4443</v>
      </c>
    </row>
    <row r="36" customFormat="false" ht="15" hidden="false" customHeight="true" outlineLevel="0" collapsed="false">
      <c r="B36" s="851" t="s">
        <v>3199</v>
      </c>
      <c r="C36" s="1009" t="n">
        <f aca="false">'Gaming · Drivers'!C117</f>
        <v>1075</v>
      </c>
      <c r="D36" s="1151" t="s">
        <v>4382</v>
      </c>
      <c r="E36" s="1010" t="s">
        <v>4444</v>
      </c>
      <c r="F36" s="565" t="s">
        <v>4445</v>
      </c>
    </row>
    <row r="37" customFormat="false" ht="15" hidden="false" customHeight="true" outlineLevel="0" collapsed="false">
      <c r="B37" s="851" t="s">
        <v>4446</v>
      </c>
      <c r="C37" s="1018" t="n">
        <f aca="false">'Gaming · Drivers'!C40</f>
        <v>10.5</v>
      </c>
      <c r="D37" s="1151" t="s">
        <v>4399</v>
      </c>
      <c r="E37" s="1010" t="s">
        <v>4400</v>
      </c>
      <c r="F37" s="565" t="s">
        <v>4447</v>
      </c>
    </row>
    <row r="38" customFormat="false" ht="15" hidden="false" customHeight="true" outlineLevel="0" collapsed="false">
      <c r="B38" s="851" t="s">
        <v>4448</v>
      </c>
      <c r="C38" s="1018" t="n">
        <f aca="false">'Gaming · Drivers'!C37</f>
        <v>25</v>
      </c>
      <c r="D38" s="1151" t="s">
        <v>4403</v>
      </c>
      <c r="E38" s="1010" t="s">
        <v>4404</v>
      </c>
      <c r="F38" s="565" t="s">
        <v>4449</v>
      </c>
    </row>
    <row r="39" customFormat="false" ht="15" hidden="false" customHeight="true" outlineLevel="0" collapsed="false">
      <c r="B39" s="851" t="s">
        <v>4450</v>
      </c>
      <c r="C39" s="1018" t="n">
        <f aca="false">'Gaming · Drivers'!C60</f>
        <v>2.5</v>
      </c>
      <c r="D39" s="1151" t="s">
        <v>4408</v>
      </c>
      <c r="E39" s="1010" t="s">
        <v>4409</v>
      </c>
      <c r="F39" s="565" t="s">
        <v>4451</v>
      </c>
    </row>
    <row r="40" customFormat="false" ht="15" hidden="false" customHeight="true" outlineLevel="0" collapsed="false">
      <c r="B40" s="851" t="s">
        <v>4452</v>
      </c>
      <c r="C40" s="1018" t="n">
        <f aca="false">'Gaming · Drivers'!C61</f>
        <v>5</v>
      </c>
      <c r="D40" s="1151" t="s">
        <v>4412</v>
      </c>
      <c r="E40" s="1010" t="s">
        <v>4413</v>
      </c>
      <c r="F40" s="565" t="s">
        <v>4451</v>
      </c>
    </row>
    <row r="41" customFormat="false" ht="15" hidden="false" customHeight="true" outlineLevel="0" collapsed="false">
      <c r="B41" s="851" t="s">
        <v>4415</v>
      </c>
      <c r="C41" s="1018" t="n">
        <f aca="false">'Gaming · Drivers'!C58</f>
        <v>18</v>
      </c>
      <c r="D41" s="1151" t="s">
        <v>4396</v>
      </c>
      <c r="E41" s="1010" t="s">
        <v>4416</v>
      </c>
      <c r="F41" s="565" t="s">
        <v>3889</v>
      </c>
    </row>
    <row r="42" customFormat="false" ht="15" hidden="false" customHeight="true" outlineLevel="0" collapsed="false">
      <c r="B42" s="851" t="s">
        <v>4453</v>
      </c>
      <c r="C42" s="1018" t="n">
        <f aca="false">'Gaming · Drivers'!C70</f>
        <v>1.5</v>
      </c>
      <c r="D42" s="1151" t="s">
        <v>4419</v>
      </c>
      <c r="E42" s="1010" t="s">
        <v>4420</v>
      </c>
      <c r="F42" s="565" t="s">
        <v>4454</v>
      </c>
    </row>
    <row r="43" customFormat="false" ht="15" hidden="false" customHeight="true" outlineLevel="0" collapsed="false">
      <c r="B43" s="851" t="s">
        <v>4455</v>
      </c>
      <c r="C43" s="1018" t="n">
        <f aca="false">'Gaming · Drivers'!C76</f>
        <v>350</v>
      </c>
      <c r="D43" s="1151" t="s">
        <v>4423</v>
      </c>
      <c r="E43" s="1010" t="s">
        <v>4424</v>
      </c>
      <c r="F43" s="565" t="s">
        <v>4456</v>
      </c>
    </row>
    <row r="44" customFormat="false" ht="15" hidden="false" customHeight="true" outlineLevel="0" collapsed="false">
      <c r="B44" s="851" t="s">
        <v>4457</v>
      </c>
      <c r="C44" s="1018" t="n">
        <f aca="false">'Gaming · Drivers'!C80</f>
        <v>7200</v>
      </c>
      <c r="D44" s="1151" t="s">
        <v>4458</v>
      </c>
      <c r="E44" s="1010" t="s">
        <v>4459</v>
      </c>
      <c r="F44" s="565" t="s">
        <v>4460</v>
      </c>
    </row>
    <row r="45" customFormat="false" ht="15" hidden="false" customHeight="true" outlineLevel="0" collapsed="false">
      <c r="B45" s="851" t="s">
        <v>4461</v>
      </c>
      <c r="C45" s="1014" t="n">
        <f aca="false">'Gaming · Drivers'!C81</f>
        <v>0.21</v>
      </c>
      <c r="D45" s="1151" t="s">
        <v>4462</v>
      </c>
      <c r="E45" s="1010" t="s">
        <v>4463</v>
      </c>
      <c r="F45" s="565" t="s">
        <v>4464</v>
      </c>
    </row>
    <row r="46" customFormat="false" ht="15" hidden="false" customHeight="true" outlineLevel="0" collapsed="false">
      <c r="B46" s="851" t="s">
        <v>4387</v>
      </c>
      <c r="C46" s="1019" t="n">
        <f aca="false">'Gaming · Costs'!C35/'Gaming · Revenue'!D58</f>
        <v>0.532975401033378</v>
      </c>
      <c r="D46" s="1151" t="s">
        <v>4465</v>
      </c>
      <c r="E46" s="1010" t="s">
        <v>4466</v>
      </c>
      <c r="F46" s="565" t="s">
        <v>4467</v>
      </c>
    </row>
    <row r="47" customFormat="false" ht="15" hidden="false" customHeight="true" outlineLevel="0" collapsed="false">
      <c r="B47" s="851" t="s">
        <v>4434</v>
      </c>
      <c r="C47" s="1016" t="n">
        <f aca="false">'Gaming · Revenue'!D58/'Gaming · Drivers'!C79</f>
        <v>55611.0194444444</v>
      </c>
      <c r="D47" s="1151" t="s">
        <v>4468</v>
      </c>
      <c r="E47" s="1010" t="s">
        <v>4469</v>
      </c>
      <c r="F47" s="565" t="s">
        <v>4470</v>
      </c>
    </row>
    <row r="48" customFormat="false" ht="15" hidden="false" customHeight="true" outlineLevel="0" collapsed="false">
      <c r="B48" s="851" t="s">
        <v>4471</v>
      </c>
      <c r="C48" s="1018" t="n">
        <f aca="false">'Gaming · Revenue'!D58/('Gaming · Drivers'!C117*52)</f>
        <v>17.9069472271914</v>
      </c>
      <c r="D48" s="1151" t="s">
        <v>4144</v>
      </c>
      <c r="E48" s="1010" t="s">
        <v>4472</v>
      </c>
      <c r="F48" s="565" t="s">
        <v>4430</v>
      </c>
    </row>
    <row r="49" customFormat="false" ht="15" hidden="false" customHeight="true" outlineLevel="0" collapsed="false">
      <c r="B49" s="6"/>
      <c r="E49" s="6"/>
    </row>
    <row r="50" customFormat="false" ht="15" hidden="false" customHeight="true" outlineLevel="0" collapsed="false">
      <c r="B50" s="6"/>
      <c r="E50" s="6"/>
    </row>
    <row r="51" customFormat="false" ht="120" hidden="false" customHeight="true" outlineLevel="0" collapsed="false">
      <c r="B51" s="1152" t="s">
        <v>4473</v>
      </c>
      <c r="C51" s="1152"/>
      <c r="D51" s="1152"/>
      <c r="E51" s="1152"/>
      <c r="F51" s="1152"/>
    </row>
    <row r="52" customFormat="false" ht="15" hidden="false" customHeight="true" outlineLevel="0" collapsed="false">
      <c r="B52" s="1152"/>
      <c r="C52" s="1152"/>
      <c r="D52" s="1152"/>
      <c r="E52" s="1152"/>
      <c r="F52" s="1152"/>
    </row>
    <row r="53" customFormat="false" ht="15" hidden="false" customHeight="true" outlineLevel="0" collapsed="false">
      <c r="B53" s="1152"/>
      <c r="C53" s="1152"/>
      <c r="D53" s="1152"/>
      <c r="E53" s="1152"/>
      <c r="F53" s="1152"/>
    </row>
    <row r="54" customFormat="false" ht="15" hidden="false" customHeight="true" outlineLevel="0" collapsed="false">
      <c r="B54" s="1152"/>
      <c r="C54" s="1152"/>
      <c r="D54" s="1152"/>
      <c r="E54" s="1152"/>
      <c r="F54" s="1152"/>
    </row>
    <row r="55" customFormat="false" ht="15" hidden="false" customHeight="true" outlineLevel="0" collapsed="false">
      <c r="B55" s="1152"/>
      <c r="C55" s="1152"/>
      <c r="D55" s="1152"/>
      <c r="E55" s="1152"/>
      <c r="F55" s="1152"/>
    </row>
    <row r="56" customFormat="false" ht="15" hidden="false" customHeight="true" outlineLevel="0" collapsed="false">
      <c r="B56" s="1152"/>
      <c r="C56" s="1152"/>
      <c r="D56" s="1152"/>
      <c r="E56" s="1152"/>
      <c r="F56" s="1152"/>
    </row>
  </sheetData>
  <mergeCells count="13">
    <mergeCell ref="B2:H2"/>
    <mergeCell ref="I2:L2"/>
    <mergeCell ref="B3:L3"/>
    <mergeCell ref="B5:F5"/>
    <mergeCell ref="B14:F14"/>
    <mergeCell ref="B26:F26"/>
    <mergeCell ref="E27:F27"/>
    <mergeCell ref="E28:F28"/>
    <mergeCell ref="E29:F29"/>
    <mergeCell ref="E30:F30"/>
    <mergeCell ref="E31:F31"/>
    <mergeCell ref="B34:G34"/>
    <mergeCell ref="B51:F56"/>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7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F9" activeCellId="0" sqref="F9"/>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50.16"/>
    <col collapsed="false" customWidth="true" hidden="false" outlineLevel="0" max="3" min="3" style="0" width="14"/>
    <col collapsed="false" customWidth="true" hidden="false" outlineLevel="0" max="4" min="4" style="0" width="17.5"/>
    <col collapsed="false" customWidth="true" hidden="false" outlineLevel="0" max="5" min="5" style="0" width="29.51"/>
    <col collapsed="false" customWidth="true" hidden="false" outlineLevel="0" max="6" min="6" style="0" width="11"/>
  </cols>
  <sheetData>
    <row r="1" customFormat="false" ht="15" hidden="false" customHeight="true" outlineLevel="0" collapsed="false">
      <c r="B1" s="6"/>
      <c r="D1" s="6"/>
    </row>
    <row r="2" customFormat="false" ht="27.75" hidden="false" customHeight="true" outlineLevel="0" collapsed="false">
      <c r="B2" s="221" t="s">
        <v>664</v>
      </c>
      <c r="D2" s="6"/>
    </row>
    <row r="3" customFormat="false" ht="66" hidden="false" customHeight="true" outlineLevel="0" collapsed="false">
      <c r="B3" s="165" t="str">
        <f aca="false">"$"&amp;TEXT(MASTER_ASSUMPTIONS!C13/1000000,"0.00")&amp;"M cash deployment leveraged into $"&amp;TEXT(CapEx!E54/1000000,"0.00")&amp;"M project · "&amp;TEXT(CAPITAL_EFFICIENCY!C32,"0.0%")&amp;" LP cash at risk · "&amp;TEXT(1-CAPITAL_EFFICIENCY!C32,"0.0%")&amp;" non-dilutive funding"</f>
        <v>$7.82M cash deployment leveraged into $28.28M project · 27.7% LP cash at risk · 72.3% non-dilutive funding</v>
      </c>
      <c r="D3" s="6"/>
    </row>
    <row r="4" customFormat="false" ht="15" hidden="false" customHeight="true" outlineLevel="0" collapsed="false">
      <c r="B4" s="6"/>
      <c r="D4" s="6"/>
    </row>
    <row r="5" customFormat="false" ht="33.75" hidden="false" customHeight="true" outlineLevel="0" collapsed="false">
      <c r="B5" s="222" t="s">
        <v>665</v>
      </c>
      <c r="D5" s="6"/>
    </row>
    <row r="6" customFormat="false" ht="15" hidden="false" customHeight="true" outlineLevel="0" collapsed="false">
      <c r="B6" s="6"/>
      <c r="D6" s="6"/>
    </row>
    <row r="7" customFormat="false" ht="15" hidden="false" customHeight="true" outlineLevel="0" collapsed="false">
      <c r="B7" s="159" t="s">
        <v>666</v>
      </c>
      <c r="C7" s="193" t="s">
        <v>224</v>
      </c>
      <c r="D7" s="159" t="s">
        <v>667</v>
      </c>
      <c r="E7" s="193" t="s">
        <v>668</v>
      </c>
      <c r="F7" s="193" t="s">
        <v>669</v>
      </c>
    </row>
    <row r="8" customFormat="false" ht="15" hidden="false" customHeight="true" outlineLevel="0" collapsed="false">
      <c r="B8" s="159" t="s">
        <v>670</v>
      </c>
      <c r="C8" s="170" t="n">
        <f aca="false">CapEx!E54</f>
        <v>28280000</v>
      </c>
      <c r="D8" s="223" t="n">
        <v>1</v>
      </c>
      <c r="E8" s="0" t="s">
        <v>671</v>
      </c>
      <c r="F8" s="0" t="s">
        <v>672</v>
      </c>
    </row>
    <row r="9" customFormat="false" ht="24" hidden="false" customHeight="true" outlineLevel="0" collapsed="false">
      <c r="B9" s="6" t="s">
        <v>673</v>
      </c>
      <c r="C9" s="170" t="n">
        <f aca="false">-CapEx!E56</f>
        <v>-9190000</v>
      </c>
      <c r="D9" s="224" t="n">
        <f aca="false">ABS(C9)/$C$8</f>
        <v>0.324964639321075</v>
      </c>
      <c r="E9" s="0" t="s">
        <v>674</v>
      </c>
      <c r="F9" s="0" t="s">
        <v>675</v>
      </c>
    </row>
    <row r="10" customFormat="false" ht="18" hidden="false" customHeight="true" outlineLevel="0" collapsed="false">
      <c r="B10" s="159" t="s">
        <v>676</v>
      </c>
      <c r="C10" s="171" t="n">
        <f aca="false">C8+C9</f>
        <v>19090000</v>
      </c>
      <c r="D10" s="224" t="n">
        <f aca="false">C10/$C$8</f>
        <v>0.675035360678925</v>
      </c>
      <c r="E10" s="0" t="s">
        <v>677</v>
      </c>
      <c r="F10" s="0" t="s">
        <v>672</v>
      </c>
    </row>
    <row r="11" customFormat="false" ht="15" hidden="false" customHeight="true" outlineLevel="0" collapsed="false">
      <c r="B11" s="6"/>
      <c r="D11" s="6"/>
    </row>
    <row r="12" customFormat="false" ht="18" hidden="false" customHeight="true" outlineLevel="0" collapsed="false">
      <c r="B12" s="159" t="s">
        <v>678</v>
      </c>
      <c r="D12" s="6"/>
    </row>
    <row r="13" customFormat="false" ht="18" hidden="false" customHeight="true" outlineLevel="0" collapsed="false">
      <c r="B13" s="6" t="s">
        <v>679</v>
      </c>
      <c r="C13" s="170" t="n">
        <f aca="false">CapEx!D61</f>
        <v>-2290800</v>
      </c>
      <c r="D13" s="224" t="n">
        <f aca="false">ABS(C13)/$C$8</f>
        <v>0.081004243281471</v>
      </c>
      <c r="E13" s="0" t="s">
        <v>680</v>
      </c>
      <c r="F13" s="0" t="s">
        <v>681</v>
      </c>
    </row>
    <row r="14" customFormat="false" ht="18" hidden="false" customHeight="true" outlineLevel="0" collapsed="false">
      <c r="B14" s="6" t="s">
        <v>682</v>
      </c>
      <c r="C14" s="170" t="n">
        <f aca="false">CapEx!D62</f>
        <v>-1790000</v>
      </c>
      <c r="D14" s="224" t="n">
        <f aca="false">ABS(C14)/$C$8</f>
        <v>0.0632956152758133</v>
      </c>
      <c r="E14" s="0" t="s">
        <v>683</v>
      </c>
      <c r="F14" s="0" t="s">
        <v>684</v>
      </c>
    </row>
    <row r="15" customFormat="false" ht="18" hidden="false" customHeight="true" outlineLevel="0" collapsed="false">
      <c r="B15" s="6" t="s">
        <v>685</v>
      </c>
      <c r="C15" s="170" t="n">
        <f aca="false">CapEx!D63</f>
        <v>-1000000</v>
      </c>
      <c r="D15" s="224" t="n">
        <f aca="false">ABS(C15)/$C$8</f>
        <v>0.0353606789250354</v>
      </c>
      <c r="E15" s="0" t="s">
        <v>686</v>
      </c>
      <c r="F15" s="0" t="s">
        <v>687</v>
      </c>
    </row>
    <row r="16" customFormat="false" ht="18" hidden="false" customHeight="true" outlineLevel="0" collapsed="false">
      <c r="B16" s="6" t="s">
        <v>688</v>
      </c>
      <c r="C16" s="170" t="n">
        <f aca="false">CapEx!D64</f>
        <v>-3402000</v>
      </c>
      <c r="D16" s="224" t="n">
        <f aca="false">ABS(C16)/$C$8</f>
        <v>0.12029702970297</v>
      </c>
      <c r="E16" s="0" t="s">
        <v>689</v>
      </c>
      <c r="F16" s="0" t="s">
        <v>690</v>
      </c>
    </row>
    <row r="17" customFormat="false" ht="15" hidden="false" customHeight="true" outlineLevel="0" collapsed="false">
      <c r="B17" s="6" t="s">
        <v>691</v>
      </c>
      <c r="C17" s="170" t="n">
        <f aca="false">CapEx!D65</f>
        <v>-1500000</v>
      </c>
      <c r="D17" s="224" t="n">
        <f aca="false">ABS(C17)/$C$8</f>
        <v>0.053041018387553</v>
      </c>
      <c r="E17" s="0" t="s">
        <v>692</v>
      </c>
      <c r="F17" s="0" t="s">
        <v>693</v>
      </c>
    </row>
    <row r="18" customFormat="false" ht="15" hidden="false" customHeight="true" outlineLevel="0" collapsed="false">
      <c r="B18" s="6" t="s">
        <v>694</v>
      </c>
      <c r="C18" s="170" t="n">
        <f aca="false">CapEx!D66</f>
        <v>-400000</v>
      </c>
      <c r="D18" s="224" t="n">
        <f aca="false">ABS(C18)/$C$8</f>
        <v>0.0141442715700141</v>
      </c>
      <c r="E18" s="0" t="s">
        <v>695</v>
      </c>
      <c r="F18" s="0" t="s">
        <v>696</v>
      </c>
    </row>
    <row r="19" customFormat="false" ht="18" hidden="false" customHeight="true" outlineLevel="0" collapsed="false">
      <c r="B19" s="6" t="s">
        <v>697</v>
      </c>
      <c r="C19" s="170" t="n">
        <f aca="false">CapEx!D67</f>
        <v>-300000</v>
      </c>
      <c r="D19" s="224" t="n">
        <f aca="false">ABS(C19)/$C$8</f>
        <v>0.0106082036775106</v>
      </c>
      <c r="E19" s="0" t="s">
        <v>698</v>
      </c>
      <c r="F19" s="0" t="s">
        <v>699</v>
      </c>
    </row>
    <row r="20" customFormat="false" ht="15" hidden="false" customHeight="true" outlineLevel="0" collapsed="false">
      <c r="B20" s="6" t="s">
        <v>700</v>
      </c>
      <c r="C20" s="170" t="n">
        <f aca="false">CapEx!D68</f>
        <v>-587200</v>
      </c>
      <c r="D20" s="224" t="n">
        <f aca="false">ABS(C20)/$C$8</f>
        <v>0.0207637906647808</v>
      </c>
      <c r="E20" s="0" t="s">
        <v>701</v>
      </c>
      <c r="F20" s="0" t="s">
        <v>696</v>
      </c>
    </row>
    <row r="21" customFormat="false" ht="15" hidden="false" customHeight="true" outlineLevel="0" collapsed="false">
      <c r="B21" s="6"/>
      <c r="D21" s="6"/>
    </row>
    <row r="22" customFormat="false" ht="15" hidden="false" customHeight="true" outlineLevel="0" collapsed="false">
      <c r="B22" s="159" t="s">
        <v>702</v>
      </c>
      <c r="C22" s="225" t="n">
        <f aca="false">SUM(C13:C20)</f>
        <v>-11270000</v>
      </c>
      <c r="D22" s="224" t="n">
        <f aca="false">ABS(C22)/$C$8</f>
        <v>0.398514851485149</v>
      </c>
    </row>
    <row r="23" customFormat="false" ht="15" hidden="false" customHeight="true" outlineLevel="0" collapsed="false">
      <c r="B23" s="6"/>
      <c r="D23" s="6"/>
    </row>
    <row r="24" customFormat="false" ht="18" hidden="false" customHeight="true" outlineLevel="0" collapsed="false">
      <c r="B24" s="226" t="s">
        <v>703</v>
      </c>
      <c r="C24" s="227" t="n">
        <f aca="false">C10+C22</f>
        <v>7820000</v>
      </c>
      <c r="D24" s="213" t="n">
        <f aca="false">C24/$C$8</f>
        <v>0.276520509193777</v>
      </c>
      <c r="E24" s="0" t="s">
        <v>704</v>
      </c>
      <c r="F24" s="0" t="s">
        <v>705</v>
      </c>
    </row>
    <row r="25" customFormat="false" ht="15" hidden="false" customHeight="true" outlineLevel="0" collapsed="false">
      <c r="B25" s="6"/>
      <c r="D25" s="6"/>
    </row>
    <row r="26" customFormat="false" ht="15" hidden="false" customHeight="true" outlineLevel="0" collapsed="false">
      <c r="B26" s="6"/>
      <c r="D26" s="6"/>
    </row>
    <row r="27" customFormat="false" ht="18" hidden="false" customHeight="true" outlineLevel="0" collapsed="false">
      <c r="B27" s="222" t="s">
        <v>706</v>
      </c>
      <c r="D27" s="6"/>
    </row>
    <row r="28" customFormat="false" ht="15" hidden="false" customHeight="true" outlineLevel="0" collapsed="false">
      <c r="B28" s="6"/>
      <c r="D28" s="6"/>
    </row>
    <row r="29" customFormat="false" ht="15" hidden="false" customHeight="true" outlineLevel="0" collapsed="false">
      <c r="B29" s="159" t="s">
        <v>206</v>
      </c>
      <c r="C29" s="193" t="s">
        <v>393</v>
      </c>
      <c r="D29" s="159" t="s">
        <v>707</v>
      </c>
    </row>
    <row r="30" customFormat="false" ht="51" hidden="false" customHeight="true" outlineLevel="0" collapsed="false">
      <c r="B30" s="6" t="s">
        <v>708</v>
      </c>
      <c r="C30" s="228" t="n">
        <f aca="false">C8/C24</f>
        <v>3.61636828644501</v>
      </c>
      <c r="D30" s="6" t="s">
        <v>709</v>
      </c>
    </row>
    <row r="31" customFormat="false" ht="51" hidden="false" customHeight="true" outlineLevel="0" collapsed="false">
      <c r="B31" s="6" t="s">
        <v>710</v>
      </c>
      <c r="C31" s="161" t="n">
        <f aca="false">ABS(C22)/C10</f>
        <v>0.590361445783133</v>
      </c>
      <c r="D31" s="6" t="s">
        <v>711</v>
      </c>
    </row>
    <row r="32" customFormat="false" ht="51" hidden="false" customHeight="true" outlineLevel="0" collapsed="false">
      <c r="B32" s="6" t="s">
        <v>712</v>
      </c>
      <c r="C32" s="161" t="n">
        <f aca="false">D24</f>
        <v>0.276520509193777</v>
      </c>
      <c r="D32" s="6" t="s">
        <v>713</v>
      </c>
    </row>
    <row r="33" customFormat="false" ht="51" hidden="false" customHeight="true" outlineLevel="0" collapsed="false">
      <c r="B33" s="6" t="s">
        <v>714</v>
      </c>
      <c r="C33" s="161" t="n">
        <f aca="false">1-C32</f>
        <v>0.723479490806223</v>
      </c>
      <c r="D33" s="6" t="s">
        <v>715</v>
      </c>
    </row>
    <row r="34" customFormat="false" ht="15" hidden="false" customHeight="true" outlineLevel="0" collapsed="false">
      <c r="B34" s="6"/>
      <c r="D34" s="6"/>
    </row>
    <row r="35" customFormat="false" ht="15" hidden="false" customHeight="true" outlineLevel="0" collapsed="false">
      <c r="B35" s="6"/>
      <c r="D35" s="6"/>
    </row>
    <row r="36" customFormat="false" ht="24" hidden="false" customHeight="true" outlineLevel="0" collapsed="false">
      <c r="B36" s="222" t="s">
        <v>716</v>
      </c>
      <c r="D36" s="6"/>
    </row>
    <row r="37" customFormat="false" ht="15" hidden="false" customHeight="true" outlineLevel="0" collapsed="false">
      <c r="B37" s="6"/>
      <c r="D37" s="6"/>
    </row>
    <row r="38" customFormat="false" ht="51" hidden="false" customHeight="true" outlineLevel="0" collapsed="false">
      <c r="B38" s="159" t="s">
        <v>206</v>
      </c>
      <c r="C38" s="193" t="s">
        <v>717</v>
      </c>
      <c r="D38" s="229" t="str">
        <f aca="false">"On Total Project ($"&amp;TEXT(CapEx!E54/1000000,"0.00")&amp;"M)"</f>
        <v>On Total Project ($28.28M)</v>
      </c>
      <c r="E38" s="193" t="s">
        <v>225</v>
      </c>
    </row>
    <row r="39" customFormat="false" ht="15" hidden="false" customHeight="true" outlineLevel="0" collapsed="false">
      <c r="B39" s="6" t="s">
        <v>718</v>
      </c>
      <c r="C39" s="170" t="n">
        <f aca="false">DEAL_ARCHITECTURE!D33</f>
        <v>15186231.0882751</v>
      </c>
      <c r="D39" s="194" t="n">
        <f aca="false">MASTER_ASSUMPTIONS!C26</f>
        <v>34549629.9942212</v>
      </c>
      <c r="E39" s="0" t="s">
        <v>719</v>
      </c>
    </row>
    <row r="40" customFormat="false" ht="15" hidden="false" customHeight="true" outlineLevel="0" collapsed="false">
      <c r="B40" s="6" t="s">
        <v>720</v>
      </c>
      <c r="C40" s="228" t="n">
        <f aca="false">C39/C24</f>
        <v>1.94197328494566</v>
      </c>
      <c r="D40" s="230" t="n">
        <f aca="false">D39/C8</f>
        <v>1.22169837320443</v>
      </c>
      <c r="E40" s="0" t="s">
        <v>721</v>
      </c>
    </row>
    <row r="41" customFormat="false" ht="15" hidden="false" customHeight="true" outlineLevel="0" collapsed="false">
      <c r="B41" s="6" t="s">
        <v>722</v>
      </c>
      <c r="C41" s="231" t="n">
        <f aca="false">DEAL_ARCHITECTURE!D36</f>
        <v>0.20880212451708</v>
      </c>
      <c r="D41" s="224" t="n">
        <f aca="false">(D40^(1/3.5))-1</f>
        <v>0.0588802691717456</v>
      </c>
      <c r="E41" s="0" t="s">
        <v>723</v>
      </c>
    </row>
    <row r="42" customFormat="false" ht="15" hidden="false" customHeight="true" outlineLevel="0" collapsed="false">
      <c r="B42" s="6" t="s">
        <v>724</v>
      </c>
      <c r="C42" s="232" t="n">
        <f aca="false">C39/C24</f>
        <v>1.94197328494566</v>
      </c>
      <c r="D42" s="230" t="n">
        <f aca="false">D39/C8</f>
        <v>1.22169837320443</v>
      </c>
      <c r="E42" s="0" t="s">
        <v>725</v>
      </c>
    </row>
    <row r="43" customFormat="false" ht="15" hidden="false" customHeight="true" outlineLevel="0" collapsed="false">
      <c r="B43" s="6"/>
      <c r="D43" s="6"/>
    </row>
    <row r="44" customFormat="false" ht="15" hidden="false" customHeight="true" outlineLevel="0" collapsed="false">
      <c r="B44" s="6"/>
      <c r="D44" s="6"/>
    </row>
    <row r="45" customFormat="false" ht="18" hidden="false" customHeight="true" outlineLevel="0" collapsed="false">
      <c r="B45" s="222" t="s">
        <v>726</v>
      </c>
      <c r="D45" s="6"/>
    </row>
    <row r="46" customFormat="false" ht="15" hidden="false" customHeight="true" outlineLevel="0" collapsed="false">
      <c r="B46" s="6"/>
      <c r="D46" s="6"/>
    </row>
    <row r="47" customFormat="false" ht="36" hidden="false" customHeight="true" outlineLevel="0" collapsed="false">
      <c r="B47" s="180" t="str">
        <f aca="false">"◆ FRAMING: The Medina Lab is a CAPITAL-EFFICIENT venue investment, NOT a $"&amp;TEXT(CapEx!E54/1000000,"0.00")&amp;"M real-estate project."</f>
        <v>◆ FRAMING: The Medina Lab is a CAPITAL-EFFICIENT venue investment, NOT a $28.28M real-estate project.</v>
      </c>
      <c r="D47" s="6"/>
    </row>
    <row r="48" customFormat="false" ht="15" hidden="false" customHeight="true" outlineLevel="0" collapsed="false">
      <c r="B48" s="6"/>
      <c r="D48" s="6"/>
    </row>
    <row r="49" customFormat="false" ht="24" hidden="false" customHeight="true" outlineLevel="0" collapsed="false">
      <c r="B49" s="6" t="s">
        <v>727</v>
      </c>
      <c r="D49" s="6"/>
    </row>
    <row r="50" customFormat="false" ht="33.75" hidden="false" customHeight="true" outlineLevel="0" collapsed="false">
      <c r="B50" s="6" t="s">
        <v>728</v>
      </c>
      <c r="D50" s="6"/>
    </row>
    <row r="51" customFormat="false" ht="51" hidden="false" customHeight="true" outlineLevel="0" collapsed="false">
      <c r="B51" s="6" t="str">
        <f aca="false">"⊙ Non-dilutive funding stack: $"&amp;TEXT(ABS(CAPITAL_EFFICIENCY!C22)/1000000,"0.00")&amp;"M from lessor (land) + government (subsidies) + debt + suppliers + reinvestment"</f>
        <v>⊙ Non-dilutive funding stack: $11.27M from lessor (land) + government (subsidies) + debt + suppliers + reinvestment</v>
      </c>
      <c r="D51" s="6"/>
    </row>
    <row r="52" customFormat="false" ht="51" hidden="false" customHeight="true" outlineLevel="0" collapsed="false">
      <c r="B52" s="6" t="str">
        <f aca="false">"⊙ Equity-funded portion of Cash CapEx: "&amp;TEXT(MASTER_ASSUMPTIONS!C13/CapEx!E55,"0.0%")&amp;" ($"&amp;TEXT(MASTER_ASSUMPTIONS!C13/1000000,"0.00")&amp;"M of $"&amp;TEXT(CapEx!E55/1000000,"0.00")&amp;"M)"</f>
        <v>⊙ Equity-funded portion of Cash CapEx: 41.0% ($7.82M of $19.09M)</v>
      </c>
      <c r="D52" s="6"/>
    </row>
    <row r="53" customFormat="false" ht="51" hidden="false" customHeight="true" outlineLevel="0" collapsed="false">
      <c r="B53" s="6" t="str">
        <f aca="false">"⊙ Capital efficiency at Y3 exit: "&amp;TEXT(DEAL_ARCHITECTURE!D35,"0.00")&amp;"× cash deployed (vs "&amp;TEXT(DEAL_ARCHITECTURE!D35*MASTER_ASSUMPTIONS!C13/CapEx!E54,"0.00")&amp;"× on total project basis)"</f>
        <v>⊙ Capital efficiency at Y3 exit: 1.94× cash deployed (vs 0.54× on total project basis)</v>
      </c>
      <c r="D53" s="6"/>
    </row>
    <row r="54" customFormat="false" ht="15" hidden="false" customHeight="true" outlineLevel="0" collapsed="false">
      <c r="B54" s="6"/>
      <c r="D54" s="6"/>
    </row>
    <row r="55" customFormat="false" ht="18" hidden="false" customHeight="true" outlineLevel="0" collapsed="false">
      <c r="B55" s="159" t="s">
        <v>729</v>
      </c>
      <c r="D55" s="6"/>
    </row>
    <row r="56" customFormat="false" ht="36" hidden="false" customHeight="true" outlineLevel="0" collapsed="false">
      <c r="B56" s="6" t="s">
        <v>730</v>
      </c>
      <c r="D56" s="6"/>
    </row>
    <row r="57" customFormat="false" ht="66" hidden="false" customHeight="true" outlineLevel="0" collapsed="false">
      <c r="B57" s="6" t="str">
        <f aca="false">"⊙ Institutional underwriting standards: MOIC ≥ 2.0× on equity, IRR ≥ 15% — our "&amp;TEXT(DEAL_ARCHITECTURE!D35,"0.00")&amp;"× / "&amp;TEXT(DEAL_ARCHITECTURE!D36,"0.0%")&amp;" is "&amp;IF(DEAL_ARCHITECTURE!D36&gt;=0.15,"at or above threshold","below threshold")&amp;"."</f>
        <v>⊙ Institutional underwriting standards: MOIC ≥ 2.0× on equity, IRR ≥ 15% — our 1.94× / 20.9% is at or above threshold.</v>
      </c>
      <c r="D57" s="6"/>
    </row>
    <row r="58" customFormat="false" ht="36" hidden="false" customHeight="true" outlineLevel="0" collapsed="false">
      <c r="B58" s="6" t="s">
        <v>731</v>
      </c>
      <c r="D58" s="6"/>
    </row>
    <row r="59" customFormat="false" ht="36" hidden="false" customHeight="true" outlineLevel="0" collapsed="false">
      <c r="B59" s="6" t="s">
        <v>732</v>
      </c>
      <c r="D59" s="6"/>
    </row>
    <row r="60" customFormat="false" ht="15" hidden="false" customHeight="true" outlineLevel="0" collapsed="false">
      <c r="B60" s="6"/>
      <c r="D60" s="6"/>
    </row>
    <row r="61" customFormat="false" ht="18" hidden="false" customHeight="true" outlineLevel="0" collapsed="false">
      <c r="B61" s="159" t="s">
        <v>733</v>
      </c>
      <c r="D61" s="6"/>
    </row>
    <row r="62" customFormat="false" ht="36" hidden="false" customHeight="true" outlineLevel="0" collapsed="false">
      <c r="B62" s="6" t="s">
        <v>734</v>
      </c>
      <c r="D62" s="6"/>
    </row>
    <row r="63" customFormat="false" ht="36" hidden="false" customHeight="true" outlineLevel="0" collapsed="false">
      <c r="B63" s="6" t="s">
        <v>735</v>
      </c>
      <c r="D63" s="6"/>
    </row>
    <row r="64" customFormat="false" ht="51" hidden="false" customHeight="true" outlineLevel="0" collapsed="false">
      <c r="B64" s="6" t="str">
        <f aca="false">"⊙ Pixoul Casa: "&amp;TEXT(CAPITAL_EFFICIENCY!C32,"0.0%")&amp;" equity (subsidized + leveraged), "&amp;TEXT(DEAL_ARCHITECTURE!D36,"0.0%")&amp;" IRR on cash deployed, 3-year exit"</f>
        <v>⊙ Pixoul Casa: 27.7% equity (subsidized + leveraged), 20.9% IRR on cash deployed, 3-year exit</v>
      </c>
      <c r="D64" s="6"/>
    </row>
    <row r="65" customFormat="false" ht="36" hidden="false" customHeight="true" outlineLevel="0" collapsed="false">
      <c r="B65" s="6" t="s">
        <v>736</v>
      </c>
      <c r="D65" s="6"/>
    </row>
    <row r="66" customFormat="false" ht="15" hidden="false" customHeight="true" outlineLevel="0" collapsed="false">
      <c r="B66" s="6"/>
      <c r="D66" s="6"/>
    </row>
    <row r="67" customFormat="false" ht="15" hidden="false" customHeight="true" outlineLevel="0" collapsed="false">
      <c r="B67" s="6"/>
      <c r="D67" s="6"/>
    </row>
    <row r="68" customFormat="false" ht="36" hidden="false" customHeight="true" outlineLevel="0" collapsed="false">
      <c r="B68" s="222" t="s">
        <v>737</v>
      </c>
      <c r="D68" s="6"/>
    </row>
    <row r="69" customFormat="false" ht="15" hidden="false" customHeight="true" outlineLevel="0" collapsed="false">
      <c r="B69" s="6"/>
      <c r="D69" s="6"/>
    </row>
    <row r="70" customFormat="false" ht="15" hidden="false" customHeight="true" outlineLevel="0" collapsed="false">
      <c r="B70" s="159" t="s">
        <v>738</v>
      </c>
      <c r="C70" s="193" t="s">
        <v>739</v>
      </c>
      <c r="D70" s="159" t="s">
        <v>740</v>
      </c>
      <c r="E70" s="193" t="s">
        <v>741</v>
      </c>
      <c r="F70" s="193" t="s">
        <v>742</v>
      </c>
    </row>
    <row r="71" customFormat="false" ht="24" hidden="false" customHeight="true" outlineLevel="0" collapsed="false">
      <c r="B71" s="6" t="str">
        <f aca="false">"Lessor backs out ($"&amp;TEXT(CapEx!E56/1000000,"0.00")&amp;"M)"</f>
        <v>Lessor backs out ($9.19M)</v>
      </c>
      <c r="C71" s="170" t="n">
        <f aca="false">-CapEx!E11</f>
        <v>-9190000</v>
      </c>
      <c r="D71" s="214" t="n">
        <f aca="false">C24+C71</f>
        <v>-1370000</v>
      </c>
      <c r="E71" s="161" t="n">
        <f aca="false">D71/C8</f>
        <v>-0.0484441301272984</v>
      </c>
      <c r="F71" s="233" t="n">
        <f aca="false">DEAL_ARCHITECTURE!D33/D71</f>
        <v>-11.0848402104197</v>
      </c>
    </row>
    <row r="72" customFormat="false" ht="18" hidden="false" customHeight="true" outlineLevel="0" collapsed="false">
      <c r="B72" s="6" t="s">
        <v>743</v>
      </c>
      <c r="C72" s="170" t="n">
        <f aca="false">-(CapEx!D61+CapEx!D62+CapEx!D63)</f>
        <v>5080800</v>
      </c>
      <c r="D72" s="214" t="n">
        <f aca="false">C24+C72</f>
        <v>12900800</v>
      </c>
      <c r="E72" s="161" t="n">
        <f aca="false">D72/C8</f>
        <v>0.456181046676096</v>
      </c>
      <c r="F72" s="233" t="n">
        <f aca="false">DEAL_ARCHITECTURE!D33/D72</f>
        <v>1.17715421433361</v>
      </c>
    </row>
    <row r="73" customFormat="false" ht="24" hidden="false" customHeight="true" outlineLevel="0" collapsed="false">
      <c r="B73" s="6" t="str">
        <f aca="false">"Equipment Loan rejected ($"&amp;TEXT(ABS(CapEx!D64)/1000000,"0.00")&amp;"M)"</f>
        <v>Equipment Loan rejected ($3.40M)</v>
      </c>
      <c r="C73" s="170" t="n">
        <f aca="false">-CapEx!D64</f>
        <v>3402000</v>
      </c>
      <c r="D73" s="214" t="n">
        <f aca="false">C24+C73</f>
        <v>11222000</v>
      </c>
      <c r="E73" s="161" t="n">
        <f aca="false">D73/C8</f>
        <v>0.396817538896747</v>
      </c>
      <c r="F73" s="233" t="n">
        <f aca="false">DEAL_ARCHITECTURE!D33/D73</f>
        <v>1.35325530995144</v>
      </c>
    </row>
    <row r="74" customFormat="false" ht="18" hidden="false" customHeight="true" outlineLevel="0" collapsed="false">
      <c r="B74" s="159" t="s">
        <v>744</v>
      </c>
      <c r="C74" s="215" t="n">
        <v>0</v>
      </c>
      <c r="D74" s="234" t="n">
        <f aca="false">C24</f>
        <v>7820000</v>
      </c>
      <c r="E74" s="161" t="n">
        <f aca="false">C32</f>
        <v>0.276520509193777</v>
      </c>
      <c r="F74" s="235" t="n">
        <f aca="false">DEAL_ARCHITECTURE!D35</f>
        <v>1.94197328494566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E2D2D"/>
    <pageSetUpPr fitToPage="true"/>
  </sheetPr>
  <dimension ref="B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12" min="5" style="0" width="9"/>
  </cols>
  <sheetData>
    <row r="1" customFormat="false" ht="3.75" hidden="false" customHeight="true" outlineLevel="0" collapsed="false">
      <c r="B1" s="876"/>
      <c r="C1" s="876"/>
      <c r="D1" s="877"/>
      <c r="E1" s="877"/>
      <c r="F1" s="877"/>
      <c r="G1" s="877"/>
      <c r="H1" s="877"/>
      <c r="I1" s="877"/>
      <c r="J1" s="877"/>
      <c r="K1" s="877"/>
      <c r="L1" s="877"/>
    </row>
    <row r="2" customFormat="false" ht="27.75" hidden="false" customHeight="true" outlineLevel="0" collapsed="false">
      <c r="B2" s="878" t="s">
        <v>4474</v>
      </c>
      <c r="C2" s="878"/>
      <c r="D2" s="878"/>
      <c r="E2" s="878"/>
      <c r="F2" s="878"/>
      <c r="G2" s="878"/>
      <c r="H2" s="878"/>
      <c r="I2" s="89" t="s">
        <v>3432</v>
      </c>
      <c r="J2" s="89"/>
      <c r="K2" s="89"/>
      <c r="L2" s="89"/>
    </row>
    <row r="3" customFormat="false" ht="33.75" hidden="false" customHeight="true" outlineLevel="0" collapsed="false">
      <c r="B3" s="90" t="s">
        <v>4475</v>
      </c>
      <c r="C3" s="90"/>
      <c r="D3" s="90"/>
      <c r="E3" s="90"/>
      <c r="F3" s="90"/>
      <c r="G3" s="90"/>
      <c r="H3" s="90"/>
      <c r="I3" s="90"/>
      <c r="J3" s="90"/>
      <c r="K3" s="90"/>
      <c r="L3" s="90"/>
    </row>
    <row r="4" customFormat="false" ht="15" hidden="false" customHeight="true" outlineLevel="0" collapsed="false">
      <c r="B4" s="6"/>
      <c r="C4" s="6"/>
    </row>
    <row r="5" customFormat="false" ht="21.75" hidden="false" customHeight="true" outlineLevel="0" collapsed="false">
      <c r="B5" s="96" t="s">
        <v>4476</v>
      </c>
      <c r="C5" s="96"/>
      <c r="D5" s="96"/>
    </row>
    <row r="6" customFormat="false" ht="15" hidden="false" customHeight="true" outlineLevel="0" collapsed="false">
      <c r="B6" s="880" t="s">
        <v>4477</v>
      </c>
      <c r="C6" s="880" t="s">
        <v>4478</v>
      </c>
      <c r="D6" s="881" t="s">
        <v>86</v>
      </c>
    </row>
    <row r="7" customFormat="false" ht="15" hidden="false" customHeight="true" outlineLevel="0" collapsed="false">
      <c r="B7" s="726" t="s">
        <v>4479</v>
      </c>
      <c r="C7" s="1153" t="n">
        <f aca="false">'Gaming · Revenue'!D58</f>
        <v>1000998.35</v>
      </c>
      <c r="D7" s="985" t="s">
        <v>4480</v>
      </c>
    </row>
    <row r="8" customFormat="false" ht="15" hidden="false" customHeight="true" outlineLevel="0" collapsed="false">
      <c r="B8" s="726" t="s">
        <v>4481</v>
      </c>
      <c r="C8" s="1153" t="n">
        <f aca="false">'Gaming · Costs'!C29</f>
        <v>467490.852975</v>
      </c>
      <c r="D8" s="985" t="s">
        <v>4482</v>
      </c>
    </row>
    <row r="9" customFormat="false" ht="15" hidden="false" customHeight="true" outlineLevel="0" collapsed="false">
      <c r="B9" s="726" t="s">
        <v>4483</v>
      </c>
      <c r="C9" s="1153" t="n">
        <f aca="false">'Gaming · Costs'!C35</f>
        <v>533507.497025</v>
      </c>
      <c r="D9" s="985" t="s">
        <v>4484</v>
      </c>
    </row>
    <row r="10" customFormat="false" ht="15" hidden="false" customHeight="true" outlineLevel="0" collapsed="false">
      <c r="B10" s="851" t="s">
        <v>4485</v>
      </c>
      <c r="C10" s="1153" t="n">
        <f aca="false">'Gaming · 8-Year'!C11</f>
        <v>900898.515</v>
      </c>
      <c r="D10" s="985" t="s">
        <v>4486</v>
      </c>
    </row>
    <row r="11" customFormat="false" ht="15" hidden="false" customHeight="true" outlineLevel="0" collapsed="false">
      <c r="B11" s="851" t="s">
        <v>4487</v>
      </c>
      <c r="C11" s="1153" t="n">
        <f aca="false">'Gaming · 8-Year'!D11</f>
        <v>979476.885475</v>
      </c>
      <c r="D11" s="985" t="s">
        <v>4488</v>
      </c>
    </row>
    <row r="12" customFormat="false" ht="15" hidden="false" customHeight="true" outlineLevel="0" collapsed="false">
      <c r="B12" s="851" t="s">
        <v>4489</v>
      </c>
      <c r="C12" s="1153" t="n">
        <f aca="false">'Gaming · 8-Year'!E11</f>
        <v>1061959.149515</v>
      </c>
      <c r="D12" s="985" t="s">
        <v>4490</v>
      </c>
    </row>
    <row r="13" customFormat="false" ht="15" hidden="false" customHeight="true" outlineLevel="0" collapsed="false">
      <c r="B13" s="851" t="s">
        <v>4491</v>
      </c>
      <c r="C13" s="1153" t="n">
        <f aca="false">'Gaming · 8-Year'!F11</f>
        <v>1093817.92400045</v>
      </c>
      <c r="D13" s="985" t="s">
        <v>4492</v>
      </c>
    </row>
    <row r="14" customFormat="false" ht="15" hidden="false" customHeight="true" outlineLevel="0" collapsed="false">
      <c r="B14" s="851" t="s">
        <v>4493</v>
      </c>
      <c r="C14" s="1153" t="n">
        <f aca="false">'Gaming · 8-Year'!G11</f>
        <v>1182964.08480649</v>
      </c>
      <c r="D14" s="985" t="s">
        <v>4494</v>
      </c>
    </row>
    <row r="15" customFormat="false" ht="15" hidden="false" customHeight="true" outlineLevel="0" collapsed="false">
      <c r="B15" s="6"/>
      <c r="C15" s="6"/>
    </row>
    <row r="16" customFormat="false" ht="15" hidden="false" customHeight="true" outlineLevel="0" collapsed="false">
      <c r="B16" s="6"/>
      <c r="C16" s="6"/>
    </row>
    <row r="17" customFormat="false" ht="21.75" hidden="false" customHeight="true" outlineLevel="0" collapsed="false">
      <c r="B17" s="575" t="s">
        <v>4495</v>
      </c>
      <c r="C17" s="575"/>
      <c r="D17" s="575"/>
    </row>
    <row r="18" customFormat="false" ht="120" hidden="false" customHeight="true" outlineLevel="0" collapsed="false">
      <c r="B18" s="1085" t="s">
        <v>4496</v>
      </c>
      <c r="C18" s="1085"/>
      <c r="D18" s="1085"/>
    </row>
    <row r="19" customFormat="false" ht="15" hidden="false" customHeight="true" outlineLevel="0" collapsed="false">
      <c r="B19" s="1085"/>
      <c r="C19" s="1085"/>
      <c r="D19" s="1085"/>
    </row>
    <row r="20" customFormat="false" ht="15" hidden="false" customHeight="true" outlineLevel="0" collapsed="false">
      <c r="B20" s="1085"/>
      <c r="C20" s="1085"/>
      <c r="D20" s="1085"/>
    </row>
    <row r="21" customFormat="false" ht="15" hidden="false" customHeight="true" outlineLevel="0" collapsed="false">
      <c r="B21" s="1085"/>
      <c r="C21" s="1085"/>
      <c r="D21" s="1085"/>
    </row>
    <row r="22" customFormat="false" ht="15" hidden="false" customHeight="true" outlineLevel="0" collapsed="false">
      <c r="B22" s="1085"/>
      <c r="C22" s="1085"/>
      <c r="D22" s="1085"/>
    </row>
    <row r="23" customFormat="false" ht="15" hidden="false" customHeight="true" outlineLevel="0" collapsed="false">
      <c r="B23" s="1085"/>
      <c r="C23" s="1085"/>
      <c r="D23" s="1085"/>
    </row>
  </sheetData>
  <mergeCells count="6">
    <mergeCell ref="B2:H2"/>
    <mergeCell ref="I2:L2"/>
    <mergeCell ref="B3:L3"/>
    <mergeCell ref="B5:D5"/>
    <mergeCell ref="B17:D17"/>
    <mergeCell ref="B18:D2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15" t="s">
        <v>4497</v>
      </c>
      <c r="C2" s="15"/>
      <c r="D2" s="15"/>
      <c r="E2" s="15"/>
      <c r="F2" s="15"/>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'Events · Revenue'!E18</f>
        <v>1206210</v>
      </c>
      <c r="D7" s="1155" t="n">
        <f aca="false">'Events · Costs'!C20</f>
        <v>397928</v>
      </c>
      <c r="E7" s="577" t="n">
        <f aca="false">'Events · Costs'!C33</f>
        <v>808282</v>
      </c>
      <c r="F7" s="1156" t="n">
        <f aca="false">'Events · Costs'!C33/'Events · Revenue'!E18</f>
        <v>0.670100562920221</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'Events · Revenue'!E18*I9</f>
        <v>1206210</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160" t="s">
        <v>4500</v>
      </c>
      <c r="C13" s="1161" t="n">
        <f aca="false">'Events · Revenue'!E7</f>
        <v>684000</v>
      </c>
      <c r="D13" s="572" t="n">
        <f aca="false">C13/'Events · Revenue'!E18</f>
        <v>0.567065436366802</v>
      </c>
      <c r="E13" s="314"/>
      <c r="F13" s="314"/>
      <c r="G13" s="314"/>
      <c r="H13" s="314"/>
      <c r="I13" s="314"/>
      <c r="J13" s="314"/>
    </row>
    <row r="14" customFormat="false" ht="15" hidden="false" customHeight="true" outlineLevel="0" collapsed="false">
      <c r="A14" s="314"/>
      <c r="B14" s="1160" t="s">
        <v>4501</v>
      </c>
      <c r="C14" s="1161" t="n">
        <f aca="false">'Events · Revenue'!E8</f>
        <v>302400</v>
      </c>
      <c r="D14" s="572" t="n">
        <f aca="false">C14/'Events · Revenue'!E18</f>
        <v>0.250702613972691</v>
      </c>
      <c r="E14" s="314"/>
      <c r="F14" s="314"/>
      <c r="G14" s="314"/>
      <c r="H14" s="314"/>
      <c r="I14" s="314"/>
      <c r="J14" s="314"/>
    </row>
    <row r="15" customFormat="false" ht="21.75" hidden="false" customHeight="true" outlineLevel="0" collapsed="false">
      <c r="A15" s="314"/>
      <c r="B15" s="1160" t="s">
        <v>4502</v>
      </c>
      <c r="C15" s="1161" t="n">
        <f aca="false">'Events · Revenue'!E9</f>
        <v>60000</v>
      </c>
      <c r="D15" s="572" t="n">
        <f aca="false">C15/'Events · Revenue'!E18</f>
        <v>0.0497425821374388</v>
      </c>
      <c r="E15" s="314"/>
      <c r="F15" s="314"/>
      <c r="G15" s="314"/>
      <c r="H15" s="314"/>
      <c r="I15" s="314"/>
      <c r="J15" s="314"/>
    </row>
    <row r="16" customFormat="false" ht="18" hidden="false" customHeight="true" outlineLevel="0" collapsed="false">
      <c r="A16" s="314"/>
      <c r="B16" s="1160" t="s">
        <v>4503</v>
      </c>
      <c r="C16" s="1161" t="n">
        <f aca="false">'Events · Revenue'!E14</f>
        <v>55860</v>
      </c>
      <c r="D16" s="572" t="n">
        <f aca="false">C16/'Events · Revenue'!E18</f>
        <v>0.0463103439699555</v>
      </c>
      <c r="E16" s="314"/>
      <c r="F16" s="314"/>
      <c r="G16" s="314"/>
      <c r="H16" s="314"/>
      <c r="I16" s="314"/>
      <c r="J16" s="314"/>
    </row>
    <row r="17" customFormat="false" ht="24" hidden="false" customHeight="true" outlineLevel="0" collapsed="false">
      <c r="A17" s="314"/>
      <c r="B17" s="117" t="s">
        <v>3455</v>
      </c>
      <c r="C17" s="546" t="n">
        <f aca="false">'Events · Revenue'!E18</f>
        <v>1206210</v>
      </c>
      <c r="D17" s="1162" t="n">
        <v>1</v>
      </c>
      <c r="E17" s="314"/>
      <c r="F17" s="314"/>
      <c r="G17" s="314"/>
      <c r="H17" s="314"/>
      <c r="I17" s="314"/>
      <c r="J17" s="314"/>
    </row>
    <row r="18" customFormat="false" ht="18" hidden="false" customHeight="true" outlineLevel="0" collapsed="false">
      <c r="A18" s="314"/>
      <c r="B18" s="317"/>
      <c r="C18" s="317"/>
      <c r="D18" s="317"/>
      <c r="E18" s="314"/>
      <c r="F18" s="314"/>
      <c r="G18" s="314"/>
      <c r="H18" s="314"/>
      <c r="I18" s="314"/>
      <c r="J18" s="314"/>
    </row>
    <row r="19" customFormat="false" ht="18" hidden="false" customHeight="true" outlineLevel="0" collapsed="false">
      <c r="A19" s="314"/>
      <c r="B19" s="317"/>
      <c r="C19" s="317"/>
      <c r="D19" s="317"/>
      <c r="E19" s="314"/>
      <c r="F19" s="314"/>
      <c r="G19" s="314"/>
      <c r="H19" s="314"/>
      <c r="I19" s="314"/>
      <c r="J19" s="314"/>
    </row>
    <row r="20" customFormat="false" ht="18" hidden="false" customHeight="true" outlineLevel="0" collapsed="false">
      <c r="A20" s="314"/>
      <c r="B20" s="317"/>
      <c r="C20" s="317"/>
      <c r="D20" s="317"/>
      <c r="E20" s="314"/>
      <c r="F20" s="314"/>
      <c r="G20" s="314"/>
      <c r="H20" s="314"/>
      <c r="I20" s="314"/>
      <c r="J20" s="314"/>
    </row>
    <row r="21" customFormat="false" ht="15" hidden="false" customHeight="true" outlineLevel="0" collapsed="false">
      <c r="A21" s="314"/>
      <c r="B21" s="317"/>
      <c r="C21" s="317"/>
      <c r="D21" s="317"/>
      <c r="E21" s="314"/>
      <c r="F21" s="314"/>
      <c r="G21" s="314"/>
      <c r="H21" s="314"/>
      <c r="I21" s="314"/>
      <c r="J21" s="314"/>
    </row>
    <row r="22" customFormat="false" ht="15"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15" hidden="false" customHeight="true" outlineLevel="0" collapsed="false">
      <c r="A24" s="314"/>
      <c r="B24" s="113" t="s">
        <v>3457</v>
      </c>
      <c r="C24" s="1161" t="n">
        <f aca="false">'Events · 8-Year'!C11</f>
        <v>964968</v>
      </c>
      <c r="D24" s="317"/>
      <c r="E24" s="314"/>
      <c r="F24" s="314"/>
      <c r="G24" s="314"/>
      <c r="H24" s="314"/>
      <c r="I24" s="314"/>
      <c r="J24" s="314"/>
    </row>
    <row r="25" customFormat="false" ht="15" hidden="false" customHeight="true" outlineLevel="0" collapsed="false">
      <c r="B25" s="113" t="s">
        <v>3458</v>
      </c>
      <c r="C25" s="1161" t="n">
        <f aca="false">'Events · 8-Year'!F11</f>
        <v>1206210</v>
      </c>
      <c r="D25" s="6"/>
    </row>
    <row r="26" customFormat="false" ht="15" hidden="false" customHeight="true" outlineLevel="0" collapsed="false">
      <c r="B26" s="113" t="s">
        <v>3459</v>
      </c>
      <c r="C26" s="1161" t="n">
        <f aca="false">'Events · 8-Year'!J11</f>
        <v>1466155.7938125</v>
      </c>
      <c r="D26" s="6"/>
    </row>
    <row r="27" customFormat="false" ht="15" hidden="false" customHeight="true" outlineLevel="0" collapsed="false">
      <c r="B27" s="81" t="s">
        <v>3460</v>
      </c>
      <c r="C27" s="782" t="n">
        <f aca="false">'Events · 8-Year'!C25</f>
        <v>9921838.6700625</v>
      </c>
      <c r="D27" s="6"/>
    </row>
    <row r="28" customFormat="false" ht="15" hidden="false" customHeight="true" outlineLevel="0" collapsed="false">
      <c r="B28" s="81" t="s">
        <v>3461</v>
      </c>
      <c r="C28" s="1163" t="n">
        <f aca="false">'Events · 8-Year'!C26</f>
        <v>6672772.2217625</v>
      </c>
      <c r="D28" s="6"/>
    </row>
    <row r="29" customFormat="false" ht="48.75" hidden="false" customHeight="true" outlineLevel="0" collapsed="false">
      <c r="B29" s="1164" t="s">
        <v>3462</v>
      </c>
      <c r="C29" s="1165" t="n">
        <f aca="false">('Events · 8-Year'!J11/'Events · 8-Year'!C11)^(1/7)-1</f>
        <v>0.0615793414257166</v>
      </c>
      <c r="D29" s="6"/>
    </row>
    <row r="30" customFormat="false" ht="93.75" hidden="false" customHeight="true" outlineLevel="0" collapsed="false">
      <c r="B30" s="907" t="s">
        <v>3463</v>
      </c>
      <c r="C30" s="6"/>
      <c r="D30" s="6"/>
    </row>
    <row r="31" customFormat="false" ht="21.75" hidden="false" customHeight="true" outlineLevel="0" collapsed="false">
      <c r="B31" s="96" t="s">
        <v>4504</v>
      </c>
      <c r="C31" s="96"/>
      <c r="D31" s="96"/>
      <c r="E31" s="96"/>
      <c r="F31" s="96"/>
      <c r="G31" s="96"/>
      <c r="H31" s="96"/>
      <c r="I31" s="96"/>
    </row>
    <row r="32" customFormat="false" ht="21.75" hidden="false" customHeight="true" outlineLevel="0" collapsed="false">
      <c r="B32" s="97" t="s">
        <v>3465</v>
      </c>
      <c r="C32" s="319" t="s">
        <v>3466</v>
      </c>
      <c r="D32" s="319"/>
      <c r="E32" s="319"/>
      <c r="F32" s="319"/>
      <c r="G32" s="319"/>
      <c r="H32" s="319"/>
    </row>
    <row r="33" customFormat="false" ht="48.75" hidden="false" customHeight="true" outlineLevel="0" collapsed="false">
      <c r="B33" s="1160" t="s">
        <v>4505</v>
      </c>
      <c r="C33" s="134" t="s">
        <v>4506</v>
      </c>
      <c r="D33" s="134"/>
      <c r="E33" s="134"/>
      <c r="F33" s="134"/>
      <c r="G33" s="134"/>
      <c r="H33" s="134"/>
    </row>
    <row r="34" customFormat="false" ht="48.75" hidden="false" customHeight="true" outlineLevel="0" collapsed="false">
      <c r="B34" s="1160" t="s">
        <v>4507</v>
      </c>
      <c r="C34" s="134" t="s">
        <v>4508</v>
      </c>
      <c r="D34" s="134"/>
      <c r="E34" s="134"/>
      <c r="F34" s="134"/>
      <c r="G34" s="134"/>
      <c r="H34" s="134"/>
    </row>
    <row r="35" customFormat="false" ht="63.75" hidden="false" customHeight="true" outlineLevel="0" collapsed="false">
      <c r="B35" s="1160" t="s">
        <v>2487</v>
      </c>
      <c r="C35" s="134" t="s">
        <v>4509</v>
      </c>
      <c r="D35" s="134"/>
      <c r="E35" s="134"/>
      <c r="F35" s="134"/>
      <c r="G35" s="134"/>
      <c r="H35" s="134"/>
    </row>
    <row r="36" customFormat="false" ht="63.75" hidden="false" customHeight="true" outlineLevel="0" collapsed="false">
      <c r="B36" s="1160" t="s">
        <v>4510</v>
      </c>
      <c r="C36" s="134" t="s">
        <v>4511</v>
      </c>
      <c r="D36" s="134"/>
      <c r="E36" s="134"/>
      <c r="F36" s="134"/>
      <c r="G36" s="134"/>
      <c r="H36" s="134"/>
    </row>
    <row r="37" customFormat="false" ht="63.75" hidden="false" customHeight="true" outlineLevel="0" collapsed="false">
      <c r="B37" s="1160" t="s">
        <v>4512</v>
      </c>
      <c r="C37" s="134" t="s">
        <v>4513</v>
      </c>
      <c r="D37" s="134"/>
      <c r="E37" s="134"/>
      <c r="F37" s="134"/>
      <c r="G37" s="134"/>
      <c r="H37" s="134"/>
    </row>
    <row r="38" customFormat="false" ht="48.75" hidden="false" customHeight="true" outlineLevel="0" collapsed="false">
      <c r="B38" s="1160" t="s">
        <v>4514</v>
      </c>
      <c r="C38" s="134" t="s">
        <v>4515</v>
      </c>
      <c r="D38" s="134"/>
      <c r="E38" s="134"/>
      <c r="F38" s="134"/>
      <c r="G38" s="134"/>
      <c r="H38" s="134"/>
    </row>
    <row r="39" customFormat="false" ht="63.75" hidden="false" customHeight="true" outlineLevel="0" collapsed="false">
      <c r="B39" s="1160" t="s">
        <v>4516</v>
      </c>
      <c r="C39" s="134" t="s">
        <v>3480</v>
      </c>
      <c r="D39" s="134"/>
      <c r="E39" s="134"/>
      <c r="F39" s="134"/>
      <c r="G39" s="134"/>
      <c r="H39" s="134"/>
    </row>
    <row r="40" customFormat="false" ht="48.75" hidden="false" customHeight="true" outlineLevel="0" collapsed="false">
      <c r="B40" s="1160" t="s">
        <v>4517</v>
      </c>
      <c r="C40" s="134" t="s">
        <v>4518</v>
      </c>
      <c r="D40" s="134"/>
      <c r="E40" s="134"/>
      <c r="F40" s="134"/>
      <c r="G40" s="134"/>
      <c r="H40" s="13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1541</v>
      </c>
      <c r="D52" s="99" t="s">
        <v>4531</v>
      </c>
      <c r="E52" s="98" t="s">
        <v>4532</v>
      </c>
      <c r="F52" s="98" t="s">
        <v>778</v>
      </c>
    </row>
    <row r="53" customFormat="false" ht="15" hidden="false" customHeight="true" outlineLevel="0" collapsed="false">
      <c r="B53" s="113" t="s">
        <v>3502</v>
      </c>
      <c r="C53" s="1161" t="n">
        <f aca="false">'Events · Revenue'!E18</f>
        <v>1206210</v>
      </c>
      <c r="D53" s="386" t="n">
        <f aca="false">SUM('Master Revenue'!D7:D15)</f>
        <v>6672022.15</v>
      </c>
      <c r="E53" s="1166" t="n">
        <f aca="false">C53/D53</f>
        <v>0.18078627032136</v>
      </c>
      <c r="F53" s="107" t="s">
        <v>4533</v>
      </c>
    </row>
    <row r="54" customFormat="false" ht="15" hidden="false" customHeight="true" outlineLevel="0" collapsed="false">
      <c r="B54" s="113" t="s">
        <v>3504</v>
      </c>
      <c r="C54" s="1161" t="n">
        <f aca="false">'Events · Costs'!C33</f>
        <v>808282</v>
      </c>
      <c r="D54" s="386" t="n">
        <f aca="false">SUM('Master Cost'!I7:I15)</f>
        <v>4022722.921025</v>
      </c>
      <c r="E54" s="1166" t="n">
        <f aca="false">C54/D54</f>
        <v>0.200929076117936</v>
      </c>
      <c r="F54" s="107" t="s">
        <v>4534</v>
      </c>
    </row>
    <row r="55" customFormat="false" ht="15" hidden="false" customHeight="true" outlineLevel="0" collapsed="false">
      <c r="B55" s="113" t="s">
        <v>3460</v>
      </c>
      <c r="C55" s="1161" t="n">
        <f aca="false">'Events · 8-Year'!C25</f>
        <v>9921838.6700625</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1500000</v>
      </c>
      <c r="D59" s="134" t="s">
        <v>4538</v>
      </c>
      <c r="E59" s="134"/>
      <c r="F59" s="134"/>
      <c r="G59" s="134"/>
      <c r="H59" s="134"/>
    </row>
    <row r="60" customFormat="false" ht="15" hidden="false" customHeight="true" outlineLevel="0" collapsed="false">
      <c r="B60" s="126" t="s">
        <v>3511</v>
      </c>
      <c r="C60" s="1161" t="n">
        <f aca="false">SUM('Events · Cash Flow'!C29:J29)</f>
        <v>6487339.16044997</v>
      </c>
      <c r="D60" s="134" t="s">
        <v>3512</v>
      </c>
      <c r="E60" s="134"/>
      <c r="F60" s="134"/>
      <c r="G60" s="134"/>
      <c r="H60" s="134"/>
    </row>
    <row r="61" customFormat="false" ht="15" hidden="false" customHeight="true" outlineLevel="0" collapsed="false">
      <c r="B61" s="113" t="s">
        <v>3513</v>
      </c>
      <c r="C61" s="1161" t="n">
        <f aca="false">'Events · Cash Flow'!F29</f>
        <v>772095.7</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1.94276434903083</v>
      </c>
      <c r="D63" s="134" t="s">
        <v>3516</v>
      </c>
      <c r="E63" s="134"/>
      <c r="F63" s="134"/>
      <c r="G63" s="134"/>
      <c r="H63" s="134"/>
    </row>
    <row r="64" customFormat="false" ht="15" hidden="false" customHeight="true" outlineLevel="0" collapsed="false">
      <c r="B64" s="113" t="s">
        <v>3517</v>
      </c>
      <c r="C64" s="1169" t="n">
        <f aca="false">C61/C59</f>
        <v>0.514730466666667</v>
      </c>
      <c r="D64" s="134" t="s">
        <v>3518</v>
      </c>
      <c r="E64" s="134"/>
      <c r="F64" s="134"/>
      <c r="G64" s="134"/>
      <c r="H64" s="134"/>
    </row>
    <row r="65" customFormat="false" ht="15" hidden="false" customHeight="true" outlineLevel="0" collapsed="false">
      <c r="B65" s="113" t="s">
        <v>3519</v>
      </c>
      <c r="C65" s="1170" t="n">
        <f aca="false">(C60+C59)/C59</f>
        <v>5.32489277363332</v>
      </c>
      <c r="D65" s="134" t="s">
        <v>3520</v>
      </c>
      <c r="E65" s="134"/>
      <c r="F65" s="134"/>
      <c r="G65" s="134"/>
      <c r="H65" s="134"/>
    </row>
    <row r="66" customFormat="false" ht="15" hidden="false" customHeight="true" outlineLevel="0" collapsed="false">
      <c r="B66" s="113" t="s">
        <v>3523</v>
      </c>
      <c r="C66" s="1169" t="n">
        <f aca="false">C60/C59</f>
        <v>4.32489277363332</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63.75" hidden="false" customHeight="true" outlineLevel="0" collapsed="false">
      <c r="B70" s="1171" t="s">
        <v>4540</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O18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148" activePane="bottomRight" state="frozen"/>
      <selection pane="topLeft" activeCell="A1" activeCellId="0" sqref="A1"/>
      <selection pane="topRight" activeCell="C1" activeCellId="0" sqref="C1"/>
      <selection pane="bottomLeft" activeCell="A148" activeCellId="0" sqref="A148"/>
      <selection pane="bottomRight" activeCell="F132" activeCellId="0" sqref="F132"/>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5" min="3" style="0" width="11"/>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4541</v>
      </c>
      <c r="C2" s="878"/>
      <c r="D2" s="878"/>
      <c r="E2" s="878"/>
      <c r="F2" s="878"/>
      <c r="G2" s="89" t="s">
        <v>3432</v>
      </c>
      <c r="H2" s="89"/>
      <c r="I2" s="89"/>
      <c r="J2" s="89"/>
    </row>
    <row r="3" customFormat="false" ht="33.75" hidden="false" customHeight="true" outlineLevel="0" collapsed="false">
      <c r="B3" s="90" t="s">
        <v>4542</v>
      </c>
      <c r="C3" s="90"/>
      <c r="D3" s="90"/>
      <c r="E3" s="90"/>
      <c r="F3" s="90"/>
      <c r="G3" s="90"/>
      <c r="H3" s="90"/>
      <c r="I3" s="90"/>
      <c r="J3" s="90"/>
    </row>
    <row r="4" customFormat="false" ht="19.5" hidden="false" customHeight="true" outlineLevel="0" collapsed="false">
      <c r="B4" s="6"/>
      <c r="E4" s="6"/>
      <c r="G4" s="367" t="s">
        <v>4543</v>
      </c>
      <c r="H4" s="367"/>
    </row>
    <row r="5" customFormat="false" ht="33.75" hidden="false" customHeight="true" outlineLevel="0" collapsed="false">
      <c r="B5" s="96" t="s">
        <v>4544</v>
      </c>
      <c r="C5" s="96"/>
      <c r="D5" s="96"/>
      <c r="E5" s="96"/>
      <c r="G5" s="919" t="str">
        <f aca="false">PROPER('Events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13" t="s">
        <v>4546</v>
      </c>
      <c r="C7" s="1172" t="n">
        <v>5.1</v>
      </c>
      <c r="D7" s="1173" t="n">
        <v>6</v>
      </c>
      <c r="E7" s="1174" t="n">
        <v>6.6</v>
      </c>
      <c r="H7" s="565" t="s">
        <v>4547</v>
      </c>
    </row>
    <row r="8" customFormat="false" ht="16.5" hidden="false" customHeight="true" outlineLevel="0" collapsed="false">
      <c r="B8" s="113" t="s">
        <v>4548</v>
      </c>
      <c r="C8" s="1172" t="n">
        <v>5</v>
      </c>
      <c r="D8" s="1173" t="n">
        <v>4</v>
      </c>
      <c r="E8" s="1174" t="n">
        <v>4.4</v>
      </c>
      <c r="H8" s="565" t="s">
        <v>4549</v>
      </c>
    </row>
    <row r="9" customFormat="false" ht="16.5" hidden="false" customHeight="true" outlineLevel="0" collapsed="false">
      <c r="B9" s="113" t="s">
        <v>4550</v>
      </c>
      <c r="C9" s="1172" t="n">
        <v>1</v>
      </c>
      <c r="D9" s="1173" t="n">
        <v>1</v>
      </c>
      <c r="E9" s="1174" t="n">
        <v>1.1</v>
      </c>
      <c r="H9" s="565" t="s">
        <v>4551</v>
      </c>
    </row>
    <row r="10" customFormat="false" ht="16.5" hidden="false" customHeight="true" outlineLevel="0" collapsed="false">
      <c r="B10" s="113" t="s">
        <v>4552</v>
      </c>
      <c r="C10" s="927" t="n">
        <v>8075</v>
      </c>
      <c r="D10" s="928" t="n">
        <v>9500</v>
      </c>
      <c r="E10" s="929" t="n">
        <v>10450</v>
      </c>
      <c r="H10" s="565" t="s">
        <v>4553</v>
      </c>
    </row>
    <row r="11" customFormat="false" ht="16.5" hidden="false" customHeight="true" outlineLevel="0" collapsed="false">
      <c r="B11" s="113" t="s">
        <v>4554</v>
      </c>
      <c r="C11" s="927" t="n">
        <v>5355</v>
      </c>
      <c r="D11" s="928" t="n">
        <v>6300</v>
      </c>
      <c r="E11" s="929" t="n">
        <v>6930</v>
      </c>
      <c r="H11" s="565" t="s">
        <v>4555</v>
      </c>
    </row>
    <row r="12" customFormat="false" ht="16.5" hidden="false" customHeight="true" outlineLevel="0" collapsed="false">
      <c r="B12" s="113" t="s">
        <v>4556</v>
      </c>
      <c r="C12" s="927" t="n">
        <v>4250</v>
      </c>
      <c r="D12" s="928" t="n">
        <v>5000</v>
      </c>
      <c r="E12" s="929" t="n">
        <v>5500</v>
      </c>
      <c r="H12" s="565" t="s">
        <v>4557</v>
      </c>
    </row>
    <row r="13" customFormat="false" ht="16.5" hidden="false" customHeight="true" outlineLevel="0" collapsed="false">
      <c r="B13" s="113" t="s">
        <v>4558</v>
      </c>
      <c r="C13" s="1172" t="n">
        <v>212.5</v>
      </c>
      <c r="D13" s="1173" t="n">
        <v>250</v>
      </c>
      <c r="E13" s="1174" t="n">
        <v>275</v>
      </c>
      <c r="H13" s="565" t="s">
        <v>4559</v>
      </c>
    </row>
    <row r="14" customFormat="false" ht="16.5" hidden="false" customHeight="true" outlineLevel="0" collapsed="false">
      <c r="B14" s="113" t="s">
        <v>4560</v>
      </c>
      <c r="C14" s="927" t="n">
        <v>8.925</v>
      </c>
      <c r="D14" s="928" t="n">
        <v>10.5</v>
      </c>
      <c r="E14" s="929" t="n">
        <v>11.55</v>
      </c>
      <c r="H14" s="565" t="s">
        <v>4561</v>
      </c>
    </row>
    <row r="15" customFormat="false" ht="16.5" hidden="false" customHeight="true" outlineLevel="0" collapsed="false">
      <c r="B15" s="113" t="s">
        <v>4562</v>
      </c>
      <c r="C15" s="927" t="n">
        <v>595</v>
      </c>
      <c r="D15" s="928" t="n">
        <v>700</v>
      </c>
      <c r="E15" s="929" t="n">
        <v>770</v>
      </c>
      <c r="H15" s="565" t="s">
        <v>4563</v>
      </c>
    </row>
    <row r="16" customFormat="false" ht="6" hidden="false" customHeight="true" outlineLevel="0" collapsed="false">
      <c r="B16" s="6"/>
      <c r="E16" s="6"/>
    </row>
    <row r="17" customFormat="false" ht="33.75" hidden="false" customHeight="true" outlineLevel="0" collapsed="false">
      <c r="B17" s="125" t="s">
        <v>4564</v>
      </c>
      <c r="C17" s="125"/>
      <c r="D17" s="125"/>
      <c r="E17" s="125"/>
      <c r="F17" s="125"/>
      <c r="G17" s="125"/>
      <c r="H17" s="125"/>
    </row>
    <row r="18" customFormat="false" ht="18" hidden="false" customHeight="true" outlineLevel="0" collapsed="false">
      <c r="B18" s="126" t="s">
        <v>4565</v>
      </c>
      <c r="C18" s="1175" t="n">
        <f aca="false">IF($G$5="Bear",C7,IF($G$5="Bull",E7,D7))</f>
        <v>6</v>
      </c>
      <c r="E18" s="6"/>
      <c r="H18" s="565" t="s">
        <v>4566</v>
      </c>
    </row>
    <row r="19" customFormat="false" ht="18" hidden="false" customHeight="true" outlineLevel="0" collapsed="false">
      <c r="B19" s="126" t="s">
        <v>4567</v>
      </c>
      <c r="C19" s="1175" t="n">
        <f aca="false">IF($G$5="Bear",C8,IF($G$5="Bull",E8,D8))</f>
        <v>4</v>
      </c>
      <c r="E19" s="6"/>
      <c r="H19" s="565" t="s">
        <v>4566</v>
      </c>
    </row>
    <row r="20" customFormat="false" ht="18" hidden="false" customHeight="true" outlineLevel="0" collapsed="false">
      <c r="B20" s="126" t="s">
        <v>4568</v>
      </c>
      <c r="C20" s="1175" t="n">
        <f aca="false">IF($G$5="Bear",C9,IF($G$5="Bull",E9,D9))</f>
        <v>1</v>
      </c>
      <c r="E20" s="6"/>
      <c r="H20" s="565" t="s">
        <v>4566</v>
      </c>
    </row>
    <row r="21" customFormat="false" ht="18" hidden="false" customHeight="true" outlineLevel="0" collapsed="false">
      <c r="B21" s="113" t="s">
        <v>4569</v>
      </c>
      <c r="C21" s="1176" t="n">
        <f aca="false">IF($G$5="Bear",C10,IF($G$5="Bull",E10,D10))</f>
        <v>9500</v>
      </c>
      <c r="E21" s="6"/>
      <c r="H21" s="565" t="s">
        <v>4570</v>
      </c>
    </row>
    <row r="22" customFormat="false" ht="18" hidden="false" customHeight="true" outlineLevel="0" collapsed="false">
      <c r="B22" s="113" t="s">
        <v>4571</v>
      </c>
      <c r="C22" s="1176" t="n">
        <f aca="false">IF($G$5="Bear",C11,IF($G$5="Bull",E11,D11))</f>
        <v>6300</v>
      </c>
      <c r="E22" s="6"/>
      <c r="H22" s="565" t="s">
        <v>4572</v>
      </c>
    </row>
    <row r="23" customFormat="false" ht="18" hidden="false" customHeight="true" outlineLevel="0" collapsed="false">
      <c r="B23" s="113" t="s">
        <v>4573</v>
      </c>
      <c r="C23" s="1176" t="n">
        <f aca="false">IF($G$5="Bear",C12,IF($G$5="Bull",E12,D12))</f>
        <v>5000</v>
      </c>
      <c r="E23" s="6"/>
      <c r="H23" s="565" t="s">
        <v>4574</v>
      </c>
    </row>
    <row r="24" customFormat="false" ht="18" hidden="false" customHeight="true" outlineLevel="0" collapsed="false">
      <c r="B24" s="113" t="s">
        <v>4575</v>
      </c>
      <c r="C24" s="1175" t="n">
        <f aca="false">IF($G$5="Bear",C13,IF($G$5="Bull",E13,D13))</f>
        <v>250</v>
      </c>
      <c r="E24" s="6"/>
      <c r="H24" s="565" t="s">
        <v>4576</v>
      </c>
    </row>
    <row r="25" customFormat="false" ht="18" hidden="false" customHeight="true" outlineLevel="0" collapsed="false">
      <c r="B25" s="113" t="s">
        <v>4577</v>
      </c>
      <c r="C25" s="1176" t="n">
        <f aca="false">IF($G$5="Bear",C14,IF($G$5="Bull",E14,D14))</f>
        <v>10.5</v>
      </c>
      <c r="E25" s="6"/>
      <c r="H25" s="565" t="s">
        <v>4576</v>
      </c>
    </row>
    <row r="26" customFormat="false" ht="18" hidden="false" customHeight="true" outlineLevel="0" collapsed="false">
      <c r="B26" s="113" t="s">
        <v>4578</v>
      </c>
      <c r="C26" s="1176" t="n">
        <f aca="false">IF($G$5="Bear",C15,IF($G$5="Bull",E15,D15))</f>
        <v>700</v>
      </c>
      <c r="E26" s="6"/>
      <c r="H26" s="565" t="s">
        <v>4579</v>
      </c>
    </row>
    <row r="27" customFormat="false" ht="18" hidden="false" customHeight="true" outlineLevel="0" collapsed="false">
      <c r="B27" s="113" t="s">
        <v>4580</v>
      </c>
      <c r="C27" s="1177" t="n">
        <v>30</v>
      </c>
      <c r="E27" s="6"/>
      <c r="H27" s="565" t="s">
        <v>4581</v>
      </c>
    </row>
    <row r="28" customFormat="false" ht="18" hidden="false" customHeight="true" outlineLevel="0" collapsed="false">
      <c r="B28" s="113" t="s">
        <v>4582</v>
      </c>
      <c r="C28" s="1178" t="n">
        <v>12</v>
      </c>
      <c r="E28" s="6"/>
    </row>
    <row r="29" customFormat="false" ht="6" hidden="false" customHeight="true" outlineLevel="0" collapsed="false">
      <c r="B29" s="6"/>
      <c r="E29" s="6"/>
    </row>
    <row r="30" customFormat="false" ht="33.75" hidden="false" customHeight="true" outlineLevel="0" collapsed="false">
      <c r="B30" s="125" t="s">
        <v>4583</v>
      </c>
      <c r="C30" s="125"/>
      <c r="D30" s="125"/>
      <c r="E30" s="125"/>
      <c r="F30" s="125"/>
      <c r="G30" s="125"/>
      <c r="H30" s="125"/>
    </row>
    <row r="31" customFormat="false" ht="15" hidden="false" customHeight="true" outlineLevel="0" collapsed="false">
      <c r="B31" s="6"/>
      <c r="E31" s="6"/>
    </row>
    <row r="32" customFormat="false" ht="18" hidden="false" customHeight="true" outlineLevel="0" collapsed="false">
      <c r="B32" s="126" t="s">
        <v>4584</v>
      </c>
      <c r="C32" s="1179" t="n">
        <f aca="false">C18+C19+C20</f>
        <v>11</v>
      </c>
      <c r="E32" s="6"/>
      <c r="H32" s="565" t="s">
        <v>4585</v>
      </c>
    </row>
    <row r="33" customFormat="false" ht="18" hidden="false" customHeight="true" outlineLevel="0" collapsed="false">
      <c r="B33" s="113" t="s">
        <v>4586</v>
      </c>
      <c r="C33" s="1179" t="n">
        <f aca="false">MIN(C32,C27)</f>
        <v>11</v>
      </c>
      <c r="E33" s="6"/>
      <c r="H33" s="565" t="s">
        <v>4587</v>
      </c>
    </row>
    <row r="34" customFormat="false" ht="18" hidden="false" customHeight="true" outlineLevel="0" collapsed="false">
      <c r="B34" s="126" t="s">
        <v>4588</v>
      </c>
      <c r="C34" s="1179" t="n">
        <f aca="false">C27-C33</f>
        <v>19</v>
      </c>
      <c r="E34" s="6"/>
      <c r="H34" s="565" t="s">
        <v>4589</v>
      </c>
    </row>
    <row r="35" customFormat="false" ht="18" hidden="false" customHeight="true" outlineLevel="0" collapsed="false">
      <c r="B35" s="113" t="s">
        <v>4590</v>
      </c>
      <c r="C35" s="1180" t="n">
        <f aca="false">C33/C27</f>
        <v>0.366666666666667</v>
      </c>
      <c r="E35" s="6"/>
      <c r="H35" s="565" t="s">
        <v>4591</v>
      </c>
    </row>
    <row r="36" customFormat="false" ht="19.5" hidden="false" customHeight="true" outlineLevel="0" collapsed="false">
      <c r="B36" s="1061" t="s">
        <v>4592</v>
      </c>
      <c r="C36" s="590" t="n">
        <f aca="false">C34*C26*0.35</f>
        <v>4655</v>
      </c>
      <c r="D36" s="0" t="s">
        <v>4593</v>
      </c>
      <c r="E36" s="6"/>
      <c r="H36" s="565" t="s">
        <v>4594</v>
      </c>
    </row>
    <row r="37" customFormat="false" ht="6" hidden="false" customHeight="true" outlineLevel="0" collapsed="false">
      <c r="B37" s="6"/>
      <c r="E37" s="6"/>
    </row>
    <row r="38" customFormat="false" ht="33.75" hidden="false" customHeight="true" outlineLevel="0" collapsed="false">
      <c r="B38" s="555" t="s">
        <v>4595</v>
      </c>
      <c r="C38" s="555"/>
      <c r="D38" s="555"/>
      <c r="E38" s="555"/>
      <c r="F38" s="555"/>
      <c r="G38" s="555"/>
      <c r="H38" s="555"/>
    </row>
    <row r="39" customFormat="false" ht="15" hidden="false" customHeight="true" outlineLevel="0" collapsed="false">
      <c r="B39" s="6"/>
      <c r="E39" s="6"/>
    </row>
    <row r="40" customFormat="false" ht="21.75" hidden="false" customHeight="true" outlineLevel="0" collapsed="false">
      <c r="B40" s="1076" t="s">
        <v>4596</v>
      </c>
      <c r="C40" s="1181" t="n">
        <f aca="false">C32*C24*C25*12</f>
        <v>346500</v>
      </c>
      <c r="D40" s="1182" t="s">
        <v>4597</v>
      </c>
      <c r="E40" s="6"/>
      <c r="H40" s="565" t="s">
        <v>4598</v>
      </c>
    </row>
    <row r="41" customFormat="false" ht="18" hidden="false" customHeight="true" outlineLevel="0" collapsed="false">
      <c r="B41" s="113" t="s">
        <v>4599</v>
      </c>
      <c r="C41" s="1183" t="n">
        <f aca="false">C32*C24*12</f>
        <v>33000</v>
      </c>
      <c r="E41" s="6"/>
      <c r="H41" s="565" t="s">
        <v>4600</v>
      </c>
    </row>
    <row r="42" customFormat="false" ht="6" hidden="false" customHeight="true" outlineLevel="0" collapsed="false">
      <c r="B42" s="6"/>
      <c r="E42" s="6"/>
    </row>
    <row r="43" customFormat="false" ht="15" hidden="false" customHeight="true" outlineLevel="0" collapsed="false">
      <c r="B43" s="6"/>
      <c r="E43" s="6"/>
    </row>
    <row r="44" customFormat="false" ht="21.75" hidden="false" customHeight="true" outlineLevel="0" collapsed="false">
      <c r="B44" s="96" t="s">
        <v>4601</v>
      </c>
      <c r="C44" s="96"/>
      <c r="D44" s="96"/>
      <c r="E44" s="96"/>
      <c r="F44" s="96"/>
      <c r="G44" s="96"/>
      <c r="H44" s="96"/>
    </row>
    <row r="45" customFormat="false" ht="15" hidden="false" customHeight="true" outlineLevel="0" collapsed="false">
      <c r="B45" s="6"/>
      <c r="E45" s="6"/>
    </row>
    <row r="46" customFormat="false" ht="15" hidden="false" customHeight="true" outlineLevel="0" collapsed="false">
      <c r="B46" s="81" t="s">
        <v>4602</v>
      </c>
      <c r="E46" s="6"/>
    </row>
    <row r="47" customFormat="false" ht="16.5" hidden="false" customHeight="true" outlineLevel="0" collapsed="false">
      <c r="B47" s="126" t="s">
        <v>4603</v>
      </c>
      <c r="C47" s="945" t="n">
        <v>30000</v>
      </c>
      <c r="D47" s="0" t="s">
        <v>4604</v>
      </c>
      <c r="E47" s="6"/>
      <c r="H47" s="565" t="s">
        <v>4605</v>
      </c>
    </row>
    <row r="48" customFormat="false" ht="16.5" hidden="false" customHeight="true" outlineLevel="0" collapsed="false">
      <c r="B48" s="126" t="s">
        <v>4606</v>
      </c>
      <c r="C48" s="945" t="n">
        <v>18000</v>
      </c>
      <c r="E48" s="6"/>
      <c r="H48" s="565" t="s">
        <v>4607</v>
      </c>
    </row>
    <row r="49" customFormat="false" ht="16.5" hidden="false" customHeight="true" outlineLevel="0" collapsed="false">
      <c r="B49" s="113" t="s">
        <v>4608</v>
      </c>
      <c r="C49" s="945" t="n">
        <v>0</v>
      </c>
      <c r="E49" s="6"/>
      <c r="H49" s="565" t="s">
        <v>3640</v>
      </c>
    </row>
    <row r="50" customFormat="false" ht="16.5" hidden="false" customHeight="true" outlineLevel="0" collapsed="false">
      <c r="B50" s="113" t="s">
        <v>4609</v>
      </c>
      <c r="C50" s="945" t="n">
        <v>15000</v>
      </c>
      <c r="D50" s="0" t="s">
        <v>4610</v>
      </c>
      <c r="E50" s="6"/>
      <c r="H50" s="565" t="s">
        <v>4611</v>
      </c>
    </row>
    <row r="51" customFormat="false" ht="16.5" hidden="false" customHeight="true" outlineLevel="0" collapsed="false">
      <c r="B51" s="113" t="s">
        <v>4612</v>
      </c>
      <c r="C51" s="945" t="n">
        <v>0</v>
      </c>
      <c r="E51" s="6"/>
      <c r="H51" s="565" t="s">
        <v>4613</v>
      </c>
    </row>
    <row r="52" customFormat="false" ht="15" hidden="false" customHeight="true" outlineLevel="0" collapsed="false">
      <c r="B52" s="6"/>
      <c r="E52" s="6"/>
    </row>
    <row r="53" customFormat="false" ht="15" hidden="false" customHeight="true" outlineLevel="0" collapsed="false">
      <c r="B53" s="81" t="s">
        <v>4614</v>
      </c>
      <c r="E53" s="6"/>
    </row>
    <row r="54" customFormat="false" ht="16.5" hidden="false" customHeight="true" outlineLevel="0" collapsed="false">
      <c r="B54" s="126" t="s">
        <v>4615</v>
      </c>
      <c r="C54" s="945" t="n">
        <v>200</v>
      </c>
      <c r="E54" s="6"/>
      <c r="H54" s="565" t="s">
        <v>4616</v>
      </c>
    </row>
    <row r="55" customFormat="false" ht="16.5" hidden="false" customHeight="true" outlineLevel="0" collapsed="false">
      <c r="B55" s="113" t="s">
        <v>4617</v>
      </c>
      <c r="C55" s="945" t="n">
        <v>120</v>
      </c>
      <c r="E55" s="6"/>
      <c r="H55" s="565" t="s">
        <v>4618</v>
      </c>
    </row>
    <row r="56" customFormat="false" ht="16.5" hidden="false" customHeight="true" outlineLevel="0" collapsed="false">
      <c r="B56" s="113" t="s">
        <v>4619</v>
      </c>
      <c r="C56" s="945" t="n">
        <v>120</v>
      </c>
      <c r="E56" s="6"/>
      <c r="H56" s="565" t="s">
        <v>4620</v>
      </c>
    </row>
    <row r="57" customFormat="false" ht="16.5" hidden="false" customHeight="true" outlineLevel="0" collapsed="false">
      <c r="B57" s="113" t="s">
        <v>4621</v>
      </c>
      <c r="C57" s="945" t="n">
        <v>150</v>
      </c>
      <c r="E57" s="6"/>
      <c r="H57" s="565" t="s">
        <v>4622</v>
      </c>
    </row>
    <row r="58" customFormat="false" ht="15" hidden="false" customHeight="true" outlineLevel="0" collapsed="false">
      <c r="B58" s="6"/>
      <c r="E58" s="6"/>
    </row>
    <row r="59" customFormat="false" ht="15" hidden="false" customHeight="true" outlineLevel="0" collapsed="false">
      <c r="B59" s="81" t="s">
        <v>4623</v>
      </c>
      <c r="E59" s="6"/>
    </row>
    <row r="60" customFormat="false" ht="16.5" hidden="false" customHeight="true" outlineLevel="0" collapsed="false">
      <c r="B60" s="126" t="s">
        <v>4624</v>
      </c>
      <c r="C60" s="945" t="n">
        <v>100</v>
      </c>
      <c r="E60" s="6"/>
      <c r="H60" s="565" t="s">
        <v>4625</v>
      </c>
    </row>
    <row r="61" customFormat="false" ht="15" hidden="false" customHeight="true" outlineLevel="0" collapsed="false">
      <c r="B61" s="6"/>
      <c r="E61" s="6"/>
    </row>
    <row r="62" customFormat="false" ht="21.75" hidden="false" customHeight="true" outlineLevel="0" collapsed="false">
      <c r="B62" s="318" t="s">
        <v>4626</v>
      </c>
      <c r="C62" s="2"/>
      <c r="D62" s="2"/>
      <c r="E62" s="1"/>
      <c r="F62" s="2"/>
      <c r="G62" s="2"/>
      <c r="H62" s="2"/>
    </row>
    <row r="63" customFormat="false" ht="15" hidden="false" customHeight="true" outlineLevel="0" collapsed="false">
      <c r="B63" s="1184" t="s">
        <v>4627</v>
      </c>
      <c r="C63" s="1185" t="n">
        <v>28000</v>
      </c>
      <c r="D63" s="0" t="s">
        <v>4628</v>
      </c>
      <c r="E63" s="6"/>
      <c r="H63" s="958" t="s">
        <v>4629</v>
      </c>
    </row>
    <row r="64" customFormat="false" ht="15" hidden="false" customHeight="true" outlineLevel="0" collapsed="false">
      <c r="B64" s="1184" t="s">
        <v>4630</v>
      </c>
      <c r="C64" s="1185" t="n">
        <v>12000</v>
      </c>
      <c r="E64" s="6"/>
      <c r="H64" s="958" t="s">
        <v>4631</v>
      </c>
    </row>
    <row r="65" customFormat="false" ht="15" hidden="false" customHeight="true" outlineLevel="0" collapsed="false">
      <c r="B65" s="1186" t="s">
        <v>4632</v>
      </c>
      <c r="C65" s="1185" t="n">
        <v>8000</v>
      </c>
      <c r="E65" s="6"/>
      <c r="H65" s="958" t="s">
        <v>4633</v>
      </c>
    </row>
    <row r="66" customFormat="false" ht="15" hidden="false" customHeight="true" outlineLevel="0" collapsed="false">
      <c r="B66" s="1186" t="s">
        <v>4634</v>
      </c>
      <c r="C66" s="1185" t="n">
        <v>4000</v>
      </c>
      <c r="E66" s="6"/>
      <c r="H66" s="958" t="s">
        <v>4635</v>
      </c>
    </row>
    <row r="67" customFormat="false" ht="15" hidden="false" customHeight="true" outlineLevel="0" collapsed="false">
      <c r="B67" s="1187" t="s">
        <v>4636</v>
      </c>
      <c r="C67" s="1188" t="n">
        <f aca="false">SUM(C63:C66)</f>
        <v>52000</v>
      </c>
      <c r="E67" s="6"/>
      <c r="H67" s="958" t="s">
        <v>4637</v>
      </c>
    </row>
    <row r="68" customFormat="false" ht="15" hidden="false" customHeight="true" outlineLevel="0" collapsed="false">
      <c r="B68" s="6"/>
      <c r="E68" s="6"/>
    </row>
    <row r="69" customFormat="false" ht="33.75" hidden="false" customHeight="true" outlineLevel="0" collapsed="false">
      <c r="B69" s="318" t="s">
        <v>4638</v>
      </c>
      <c r="C69" s="2"/>
      <c r="D69" s="2"/>
      <c r="E69" s="1"/>
      <c r="F69" s="2"/>
      <c r="G69" s="2"/>
      <c r="H69" s="2"/>
    </row>
    <row r="70" customFormat="false" ht="15" hidden="false" customHeight="true" outlineLevel="0" collapsed="false">
      <c r="B70" s="1184" t="s">
        <v>4639</v>
      </c>
      <c r="C70" s="1185" t="n">
        <v>600</v>
      </c>
      <c r="E70" s="6"/>
      <c r="H70" s="958" t="s">
        <v>4640</v>
      </c>
    </row>
    <row r="71" customFormat="false" ht="15" hidden="false" customHeight="true" outlineLevel="0" collapsed="false">
      <c r="B71" s="1184" t="s">
        <v>4641</v>
      </c>
      <c r="C71" s="1185" t="n">
        <v>550</v>
      </c>
      <c r="E71" s="6"/>
      <c r="H71" s="958" t="s">
        <v>4642</v>
      </c>
    </row>
    <row r="72" customFormat="false" ht="15" hidden="false" customHeight="true" outlineLevel="0" collapsed="false">
      <c r="B72" s="1184" t="s">
        <v>4643</v>
      </c>
      <c r="C72" s="1185" t="n">
        <v>700</v>
      </c>
      <c r="E72" s="6"/>
      <c r="H72" s="958" t="s">
        <v>4644</v>
      </c>
    </row>
    <row r="73" customFormat="false" ht="21.75" hidden="false" customHeight="true" outlineLevel="0" collapsed="false">
      <c r="B73" s="126" t="s">
        <v>4645</v>
      </c>
      <c r="C73" s="326" t="n">
        <v>11000</v>
      </c>
      <c r="E73" s="6"/>
      <c r="H73" s="538" t="s">
        <v>4646</v>
      </c>
    </row>
    <row r="74" customFormat="false" ht="33.75" hidden="false" customHeight="true" outlineLevel="0" collapsed="false">
      <c r="B74" s="318" t="s">
        <v>4647</v>
      </c>
      <c r="C74" s="2"/>
      <c r="D74" s="2"/>
      <c r="E74" s="1"/>
      <c r="F74" s="2"/>
      <c r="G74" s="2"/>
      <c r="H74" s="2"/>
    </row>
    <row r="75" customFormat="false" ht="15" hidden="false" customHeight="true" outlineLevel="0" collapsed="false">
      <c r="B75" s="1184" t="s">
        <v>4648</v>
      </c>
      <c r="C75" s="1189" t="n">
        <v>6</v>
      </c>
      <c r="D75" s="1189" t="n">
        <v>8</v>
      </c>
      <c r="E75" s="1190" t="n">
        <v>10</v>
      </c>
      <c r="H75" s="958" t="s">
        <v>4649</v>
      </c>
    </row>
    <row r="76" customFormat="false" ht="15" hidden="false" customHeight="true" outlineLevel="0" collapsed="false">
      <c r="B76" s="1184" t="s">
        <v>4650</v>
      </c>
      <c r="C76" s="1191" t="n">
        <f aca="false">IF($G$5="Bear",C75,IF($G$5="Bull",E75,D75))*4.3</f>
        <v>34.4</v>
      </c>
      <c r="E76" s="6"/>
      <c r="H76" s="958" t="s">
        <v>4651</v>
      </c>
    </row>
    <row r="77" customFormat="false" ht="15" hidden="false" customHeight="true" outlineLevel="0" collapsed="false">
      <c r="B77" s="1184" t="s">
        <v>4652</v>
      </c>
      <c r="C77" s="1191" t="n">
        <f aca="false">C32</f>
        <v>11</v>
      </c>
      <c r="E77" s="6"/>
      <c r="H77" s="958" t="s">
        <v>4653</v>
      </c>
    </row>
    <row r="78" customFormat="false" ht="15" hidden="false" customHeight="true" outlineLevel="0" collapsed="false">
      <c r="B78" s="1192" t="s">
        <v>4654</v>
      </c>
      <c r="C78" s="1193" t="str">
        <f aca="false">IF(C77&lt;=C76,"✓ Within capacity","⚠ EXCEEDS by "&amp;TEXT(C77-C76,"0.0"))</f>
        <v>✓ Within capacity</v>
      </c>
      <c r="E78" s="6"/>
      <c r="H78" s="958" t="s">
        <v>4655</v>
      </c>
    </row>
    <row r="79" customFormat="false" ht="15" hidden="false" customHeight="true" outlineLevel="0" collapsed="false">
      <c r="B79" s="1184" t="s">
        <v>4656</v>
      </c>
      <c r="C79" s="1194" t="n">
        <f aca="false">C77/C76</f>
        <v>0.319767441860465</v>
      </c>
      <c r="E79" s="6"/>
      <c r="H79" s="958" t="s">
        <v>4657</v>
      </c>
    </row>
    <row r="80" customFormat="false" ht="15" hidden="false" customHeight="true" outlineLevel="0" collapsed="false">
      <c r="B80" s="6"/>
      <c r="E80" s="6"/>
    </row>
    <row r="81" customFormat="false" ht="33.75" hidden="false" customHeight="true" outlineLevel="0" collapsed="false">
      <c r="B81" s="96" t="s">
        <v>4658</v>
      </c>
      <c r="C81" s="96"/>
      <c r="D81" s="96"/>
      <c r="E81" s="96"/>
      <c r="F81" s="96"/>
      <c r="G81" s="96"/>
      <c r="H81" s="96"/>
    </row>
    <row r="82" customFormat="false" ht="15" hidden="false" customHeight="true" outlineLevel="0" collapsed="false">
      <c r="B82" s="1195" t="s">
        <v>4659</v>
      </c>
      <c r="D82" s="1196" t="s">
        <v>2444</v>
      </c>
      <c r="E82" s="1197" t="s">
        <v>203</v>
      </c>
      <c r="F82" s="1196" t="s">
        <v>2445</v>
      </c>
    </row>
    <row r="83" customFormat="false" ht="21.75" hidden="false" customHeight="true" outlineLevel="0" collapsed="false">
      <c r="B83" s="126" t="s">
        <v>4660</v>
      </c>
      <c r="C83" s="1198" t="n">
        <f aca="false">IF($G$5="Bear",D83,IF($G$5="Bull",F83,E83))</f>
        <v>60</v>
      </c>
      <c r="D83" s="1199" t="n">
        <v>48</v>
      </c>
      <c r="E83" s="1200" t="n">
        <v>60</v>
      </c>
      <c r="F83" s="1199" t="n">
        <v>72</v>
      </c>
      <c r="H83" s="538" t="s">
        <v>4661</v>
      </c>
    </row>
    <row r="84" customFormat="false" ht="21.75" hidden="false" customHeight="true" outlineLevel="0" collapsed="false">
      <c r="B84" s="1160" t="s">
        <v>4662</v>
      </c>
      <c r="C84" s="1201" t="n">
        <v>0.2</v>
      </c>
      <c r="E84" s="6"/>
      <c r="H84" s="538" t="s">
        <v>4663</v>
      </c>
    </row>
    <row r="85" customFormat="false" ht="21.75" hidden="false" customHeight="true" outlineLevel="0" collapsed="false">
      <c r="B85" s="126" t="s">
        <v>4664</v>
      </c>
      <c r="C85" s="541" t="n">
        <f aca="false">C83*C84</f>
        <v>12</v>
      </c>
      <c r="E85" s="6"/>
      <c r="H85" s="538" t="s">
        <v>4665</v>
      </c>
    </row>
    <row r="86" customFormat="false" ht="21.75" hidden="false" customHeight="true" outlineLevel="0" collapsed="false">
      <c r="B86" s="126" t="s">
        <v>4666</v>
      </c>
      <c r="C86" s="1202" t="n">
        <f aca="false">C85-D7</f>
        <v>6</v>
      </c>
      <c r="E86" s="6"/>
      <c r="H86" s="538" t="s">
        <v>4667</v>
      </c>
    </row>
    <row r="87" customFormat="false" ht="15" hidden="false" customHeight="true" outlineLevel="0" collapsed="false">
      <c r="B87" s="6"/>
      <c r="E87" s="6"/>
    </row>
    <row r="88" customFormat="false" ht="15" hidden="false" customHeight="true" outlineLevel="0" collapsed="false">
      <c r="B88" s="1195" t="s">
        <v>4668</v>
      </c>
      <c r="D88" s="1196" t="s">
        <v>2444</v>
      </c>
      <c r="E88" s="1197" t="s">
        <v>203</v>
      </c>
      <c r="F88" s="1196" t="s">
        <v>2445</v>
      </c>
    </row>
    <row r="89" customFormat="false" ht="21.75" hidden="false" customHeight="true" outlineLevel="0" collapsed="false">
      <c r="B89" s="126" t="s">
        <v>4669</v>
      </c>
      <c r="C89" s="1198" t="n">
        <f aca="false">IF($G$5="Bear",D89,IF($G$5="Bull",F89,E89))</f>
        <v>35</v>
      </c>
      <c r="D89" s="1199" t="n">
        <v>28</v>
      </c>
      <c r="E89" s="1200" t="n">
        <v>35</v>
      </c>
      <c r="F89" s="1199" t="n">
        <v>42</v>
      </c>
      <c r="H89" s="538" t="s">
        <v>4670</v>
      </c>
    </row>
    <row r="90" customFormat="false" ht="21.75" hidden="false" customHeight="true" outlineLevel="0" collapsed="false">
      <c r="B90" s="1160" t="s">
        <v>4671</v>
      </c>
      <c r="C90" s="1201" t="n">
        <v>0.35</v>
      </c>
      <c r="E90" s="6"/>
      <c r="H90" s="538" t="s">
        <v>4672</v>
      </c>
    </row>
    <row r="91" customFormat="false" ht="15" hidden="false" customHeight="true" outlineLevel="0" collapsed="false">
      <c r="B91" s="126" t="s">
        <v>4673</v>
      </c>
      <c r="C91" s="541" t="n">
        <f aca="false">C89*C90</f>
        <v>12.25</v>
      </c>
      <c r="E91" s="6"/>
      <c r="H91" s="538" t="s">
        <v>4674</v>
      </c>
    </row>
    <row r="92" customFormat="false" ht="21.75" hidden="false" customHeight="true" outlineLevel="0" collapsed="false">
      <c r="B92" s="126" t="s">
        <v>4675</v>
      </c>
      <c r="C92" s="1202" t="n">
        <f aca="false">C91-D8</f>
        <v>8.25</v>
      </c>
      <c r="E92" s="6"/>
      <c r="H92" s="538" t="s">
        <v>4667</v>
      </c>
    </row>
    <row r="93" customFormat="false" ht="15" hidden="false" customHeight="true" outlineLevel="0" collapsed="false">
      <c r="B93" s="6"/>
      <c r="E93" s="6"/>
    </row>
    <row r="94" customFormat="false" ht="15" hidden="false" customHeight="true" outlineLevel="0" collapsed="false">
      <c r="B94" s="1195" t="s">
        <v>4676</v>
      </c>
      <c r="D94" s="1196" t="s">
        <v>2444</v>
      </c>
      <c r="E94" s="1197" t="s">
        <v>203</v>
      </c>
      <c r="F94" s="1196" t="s">
        <v>2445</v>
      </c>
    </row>
    <row r="95" customFormat="false" ht="21.75" hidden="false" customHeight="true" outlineLevel="0" collapsed="false">
      <c r="B95" s="126" t="s">
        <v>4677</v>
      </c>
      <c r="C95" s="1198" t="n">
        <f aca="false">IF($G$5="Bear",D95,IF($G$5="Bull",F95,E95))</f>
        <v>8</v>
      </c>
      <c r="D95" s="1199" t="n">
        <v>6</v>
      </c>
      <c r="E95" s="1200" t="n">
        <v>8</v>
      </c>
      <c r="F95" s="1199" t="n">
        <v>9</v>
      </c>
      <c r="H95" s="538" t="s">
        <v>4678</v>
      </c>
    </row>
    <row r="96" customFormat="false" ht="21.75" hidden="false" customHeight="true" outlineLevel="0" collapsed="false">
      <c r="B96" s="1160" t="s">
        <v>4679</v>
      </c>
      <c r="C96" s="1201" t="n">
        <v>0.5</v>
      </c>
      <c r="E96" s="6"/>
      <c r="H96" s="538" t="s">
        <v>4680</v>
      </c>
    </row>
    <row r="97" customFormat="false" ht="15" hidden="false" customHeight="true" outlineLevel="0" collapsed="false">
      <c r="B97" s="126" t="s">
        <v>4681</v>
      </c>
      <c r="C97" s="541" t="n">
        <f aca="false">C95*C96</f>
        <v>4</v>
      </c>
      <c r="E97" s="6"/>
      <c r="H97" s="538" t="s">
        <v>4674</v>
      </c>
    </row>
    <row r="98" customFormat="false" ht="21.75" hidden="false" customHeight="true" outlineLevel="0" collapsed="false">
      <c r="B98" s="126" t="s">
        <v>4682</v>
      </c>
      <c r="C98" s="1202" t="n">
        <f aca="false">C97-D9</f>
        <v>3</v>
      </c>
      <c r="E98" s="6"/>
      <c r="H98" s="538" t="s">
        <v>4667</v>
      </c>
    </row>
    <row r="99" customFormat="false" ht="15" hidden="false" customHeight="true" outlineLevel="0" collapsed="false">
      <c r="B99" s="6"/>
      <c r="E99" s="6"/>
    </row>
    <row r="100" customFormat="false" ht="33.75" hidden="false" customHeight="true" outlineLevel="0" collapsed="false">
      <c r="B100" s="575" t="s">
        <v>4683</v>
      </c>
      <c r="C100" s="575"/>
      <c r="D100" s="575"/>
      <c r="E100" s="575"/>
      <c r="F100" s="575"/>
      <c r="G100" s="575"/>
      <c r="H100" s="575"/>
    </row>
    <row r="101" customFormat="false" ht="21.75" hidden="false" customHeight="true" outlineLevel="0" collapsed="false">
      <c r="B101" s="97" t="s">
        <v>4684</v>
      </c>
      <c r="C101" s="98" t="s">
        <v>4685</v>
      </c>
      <c r="D101" s="98" t="s">
        <v>4686</v>
      </c>
      <c r="E101" s="99" t="s">
        <v>4687</v>
      </c>
      <c r="F101" s="98" t="s">
        <v>4688</v>
      </c>
      <c r="G101" s="98" t="s">
        <v>4689</v>
      </c>
      <c r="H101" s="98" t="s">
        <v>4690</v>
      </c>
      <c r="I101" s="98" t="s">
        <v>4691</v>
      </c>
      <c r="J101" s="98" t="s">
        <v>4692</v>
      </c>
      <c r="K101" s="98" t="s">
        <v>4693</v>
      </c>
      <c r="L101" s="98" t="s">
        <v>4694</v>
      </c>
      <c r="M101" s="98" t="s">
        <v>4695</v>
      </c>
      <c r="N101" s="98" t="s">
        <v>4696</v>
      </c>
      <c r="O101" s="98" t="s">
        <v>4697</v>
      </c>
    </row>
    <row r="102" customFormat="false" ht="15" hidden="false" customHeight="true" outlineLevel="0" collapsed="false">
      <c r="B102" s="1160" t="s">
        <v>4698</v>
      </c>
      <c r="C102" s="1203" t="n">
        <v>1.01</v>
      </c>
      <c r="D102" s="1203" t="n">
        <v>1.06</v>
      </c>
      <c r="E102" s="1204" t="n">
        <v>1.15</v>
      </c>
      <c r="F102" s="1203" t="n">
        <v>1.1</v>
      </c>
      <c r="G102" s="1203" t="n">
        <v>1.06</v>
      </c>
      <c r="H102" s="1203" t="n">
        <v>1.01</v>
      </c>
      <c r="I102" s="1203" t="n">
        <v>0.67</v>
      </c>
      <c r="J102" s="1203" t="n">
        <v>0.62</v>
      </c>
      <c r="K102" s="1203" t="n">
        <v>1.15</v>
      </c>
      <c r="L102" s="1203" t="n">
        <v>1.2</v>
      </c>
      <c r="M102" s="1203" t="n">
        <v>1.15</v>
      </c>
      <c r="N102" s="1203" t="n">
        <v>0.82</v>
      </c>
      <c r="O102" s="1205" t="n">
        <f aca="false">AVERAGE(C102:N102)</f>
        <v>1</v>
      </c>
    </row>
    <row r="103" customFormat="false" ht="15" hidden="false" customHeight="true" outlineLevel="0" collapsed="false">
      <c r="B103" s="1160" t="s">
        <v>4699</v>
      </c>
      <c r="C103" s="1203" t="n">
        <v>0.46</v>
      </c>
      <c r="D103" s="1203" t="n">
        <v>0.55</v>
      </c>
      <c r="E103" s="1204" t="n">
        <v>0.69</v>
      </c>
      <c r="F103" s="1203" t="n">
        <v>0.88</v>
      </c>
      <c r="G103" s="1203" t="n">
        <v>1.2</v>
      </c>
      <c r="H103" s="1203" t="n">
        <v>1.38</v>
      </c>
      <c r="I103" s="1203" t="n">
        <v>1.29</v>
      </c>
      <c r="J103" s="1203" t="n">
        <v>1.2</v>
      </c>
      <c r="K103" s="1203" t="n">
        <v>1.34</v>
      </c>
      <c r="L103" s="1203" t="n">
        <v>1.25</v>
      </c>
      <c r="M103" s="1203" t="n">
        <v>0.88</v>
      </c>
      <c r="N103" s="1203" t="n">
        <v>0.88</v>
      </c>
      <c r="O103" s="1205" t="n">
        <f aca="false">AVERAGE(C103:N103)</f>
        <v>1</v>
      </c>
    </row>
    <row r="104" customFormat="false" ht="15" hidden="false" customHeight="true" outlineLevel="0" collapsed="false">
      <c r="B104" s="1160" t="s">
        <v>4700</v>
      </c>
      <c r="C104" s="1203" t="n">
        <v>0.9</v>
      </c>
      <c r="D104" s="1203" t="n">
        <v>0.95</v>
      </c>
      <c r="E104" s="1204" t="n">
        <v>1</v>
      </c>
      <c r="F104" s="1203" t="n">
        <v>1.05</v>
      </c>
      <c r="G104" s="1203" t="n">
        <v>1.05</v>
      </c>
      <c r="H104" s="1203" t="n">
        <v>1.1</v>
      </c>
      <c r="I104" s="1203" t="n">
        <v>1.05</v>
      </c>
      <c r="J104" s="1203" t="n">
        <v>1</v>
      </c>
      <c r="K104" s="1203" t="n">
        <v>1.05</v>
      </c>
      <c r="L104" s="1203" t="n">
        <v>1.05</v>
      </c>
      <c r="M104" s="1203" t="n">
        <v>1</v>
      </c>
      <c r="N104" s="1203" t="n">
        <v>0.8</v>
      </c>
      <c r="O104" s="1205" t="n">
        <f aca="false">AVERAGE(C104:N104)</f>
        <v>1</v>
      </c>
    </row>
    <row r="105" customFormat="false" ht="15" hidden="false" customHeight="true" outlineLevel="0" collapsed="false">
      <c r="B105" s="6"/>
      <c r="E105" s="6"/>
    </row>
    <row r="106" customFormat="false" ht="33.75" hidden="false" customHeight="true" outlineLevel="0" collapsed="false">
      <c r="B106" s="1206" t="s">
        <v>4701</v>
      </c>
      <c r="C106" s="1206"/>
      <c r="D106" s="1206"/>
      <c r="E106" s="1206"/>
      <c r="F106" s="1206"/>
      <c r="G106" s="1206"/>
      <c r="H106" s="1206"/>
      <c r="I106" s="1206"/>
      <c r="J106" s="1206"/>
      <c r="K106" s="1206"/>
      <c r="L106" s="1206"/>
      <c r="M106" s="1206"/>
      <c r="N106" s="1206"/>
    </row>
    <row r="107" customFormat="false" ht="15" hidden="false" customHeight="true" outlineLevel="0" collapsed="false">
      <c r="B107" s="6"/>
      <c r="E107" s="6"/>
    </row>
    <row r="108" customFormat="false" ht="15" hidden="false" customHeight="true" outlineLevel="0" collapsed="false">
      <c r="B108" s="1195" t="s">
        <v>4702</v>
      </c>
      <c r="E108" s="6"/>
    </row>
    <row r="109" customFormat="false" ht="15" hidden="false" customHeight="true" outlineLevel="0" collapsed="false">
      <c r="B109" s="1160" t="s">
        <v>4703</v>
      </c>
      <c r="C109" s="1207" t="n">
        <f aca="false">C102*$D$7</f>
        <v>6.06</v>
      </c>
      <c r="D109" s="1207" t="n">
        <f aca="false">D102*$D$7</f>
        <v>6.36</v>
      </c>
      <c r="E109" s="1208" t="n">
        <f aca="false">E102*$D$7</f>
        <v>6.9</v>
      </c>
      <c r="F109" s="1207" t="n">
        <f aca="false">F102*$D$7</f>
        <v>6.6</v>
      </c>
      <c r="G109" s="1207" t="n">
        <f aca="false">G102*$D$7</f>
        <v>6.36</v>
      </c>
      <c r="H109" s="1207" t="n">
        <f aca="false">H102*$D$7</f>
        <v>6.06</v>
      </c>
      <c r="I109" s="1207" t="n">
        <f aca="false">I102*$D$7</f>
        <v>4.02</v>
      </c>
      <c r="J109" s="1207" t="n">
        <f aca="false">J102*$D$7</f>
        <v>3.72</v>
      </c>
      <c r="K109" s="1207" t="n">
        <f aca="false">K102*$D$7</f>
        <v>6.9</v>
      </c>
      <c r="L109" s="1207" t="n">
        <f aca="false">L102*$D$7</f>
        <v>7.2</v>
      </c>
      <c r="M109" s="1207" t="n">
        <f aca="false">M102*$D$7</f>
        <v>6.9</v>
      </c>
      <c r="N109" s="1207" t="n">
        <f aca="false">N102*$D$7</f>
        <v>4.92</v>
      </c>
      <c r="O109" s="1209" t="n">
        <f aca="false">SUM(C109:N109)</f>
        <v>72</v>
      </c>
    </row>
    <row r="110" customFormat="false" ht="15" hidden="false" customHeight="true" outlineLevel="0" collapsed="false">
      <c r="B110" s="1160" t="s">
        <v>4704</v>
      </c>
      <c r="C110" s="1207" t="n">
        <f aca="false">C103*$D$8</f>
        <v>1.84</v>
      </c>
      <c r="D110" s="1207" t="n">
        <f aca="false">D103*$D$8</f>
        <v>2.2</v>
      </c>
      <c r="E110" s="1208" t="n">
        <f aca="false">E103*$D$8</f>
        <v>2.76</v>
      </c>
      <c r="F110" s="1207" t="n">
        <f aca="false">F103*$D$8</f>
        <v>3.52</v>
      </c>
      <c r="G110" s="1207" t="n">
        <f aca="false">G103*$D$8</f>
        <v>4.8</v>
      </c>
      <c r="H110" s="1207" t="n">
        <f aca="false">H103*$D$8</f>
        <v>5.52</v>
      </c>
      <c r="I110" s="1207" t="n">
        <f aca="false">I103*$D$8</f>
        <v>5.16</v>
      </c>
      <c r="J110" s="1207" t="n">
        <f aca="false">J103*$D$8</f>
        <v>4.8</v>
      </c>
      <c r="K110" s="1207" t="n">
        <f aca="false">K103*$D$8</f>
        <v>5.36</v>
      </c>
      <c r="L110" s="1207" t="n">
        <f aca="false">L103*$D$8</f>
        <v>5</v>
      </c>
      <c r="M110" s="1207" t="n">
        <f aca="false">M103*$D$8</f>
        <v>3.52</v>
      </c>
      <c r="N110" s="1207" t="n">
        <f aca="false">N103*$D$8</f>
        <v>3.52</v>
      </c>
      <c r="O110" s="1209" t="n">
        <f aca="false">SUM(C110:N110)</f>
        <v>48</v>
      </c>
    </row>
    <row r="111" customFormat="false" ht="15" hidden="false" customHeight="true" outlineLevel="0" collapsed="false">
      <c r="B111" s="1160" t="s">
        <v>4705</v>
      </c>
      <c r="C111" s="1207" t="n">
        <f aca="false">C104*$D$9</f>
        <v>0.9</v>
      </c>
      <c r="D111" s="1207" t="n">
        <f aca="false">D104*$D$9</f>
        <v>0.95</v>
      </c>
      <c r="E111" s="1208" t="n">
        <f aca="false">E104*$D$9</f>
        <v>1</v>
      </c>
      <c r="F111" s="1207" t="n">
        <f aca="false">F104*$D$9</f>
        <v>1.05</v>
      </c>
      <c r="G111" s="1207" t="n">
        <f aca="false">G104*$D$9</f>
        <v>1.05</v>
      </c>
      <c r="H111" s="1207" t="n">
        <f aca="false">H104*$D$9</f>
        <v>1.1</v>
      </c>
      <c r="I111" s="1207" t="n">
        <f aca="false">I104*$D$9</f>
        <v>1.05</v>
      </c>
      <c r="J111" s="1207" t="n">
        <f aca="false">J104*$D$9</f>
        <v>1</v>
      </c>
      <c r="K111" s="1207" t="n">
        <f aca="false">K104*$D$9</f>
        <v>1.05</v>
      </c>
      <c r="L111" s="1207" t="n">
        <f aca="false">L104*$D$9</f>
        <v>1.05</v>
      </c>
      <c r="M111" s="1207" t="n">
        <f aca="false">M104*$D$9</f>
        <v>1</v>
      </c>
      <c r="N111" s="1207" t="n">
        <f aca="false">N104*$D$9</f>
        <v>0.8</v>
      </c>
      <c r="O111" s="1209" t="n">
        <f aca="false">SUM(C111:N111)</f>
        <v>12</v>
      </c>
    </row>
    <row r="112" customFormat="false" ht="15" hidden="false" customHeight="true" outlineLevel="0" collapsed="false">
      <c r="B112" s="1210" t="s">
        <v>4706</v>
      </c>
      <c r="C112" s="1211" t="n">
        <f aca="false">C109+C110+C111</f>
        <v>8.8</v>
      </c>
      <c r="D112" s="1211" t="n">
        <f aca="false">D109+D110+D111</f>
        <v>9.51</v>
      </c>
      <c r="E112" s="1212" t="n">
        <f aca="false">E109+E110+E111</f>
        <v>10.66</v>
      </c>
      <c r="F112" s="1211" t="n">
        <f aca="false">F109+F110+F111</f>
        <v>11.17</v>
      </c>
      <c r="G112" s="1211" t="n">
        <f aca="false">G109+G110+G111</f>
        <v>12.21</v>
      </c>
      <c r="H112" s="1211" t="n">
        <f aca="false">H109+H110+H111</f>
        <v>12.68</v>
      </c>
      <c r="I112" s="1211" t="n">
        <f aca="false">I109+I110+I111</f>
        <v>10.23</v>
      </c>
      <c r="J112" s="1211" t="n">
        <f aca="false">J109+J110+J111</f>
        <v>9.52</v>
      </c>
      <c r="K112" s="1211" t="n">
        <f aca="false">K109+K110+K111</f>
        <v>13.31</v>
      </c>
      <c r="L112" s="1211" t="n">
        <f aca="false">L109+L110+L111</f>
        <v>13.25</v>
      </c>
      <c r="M112" s="1211" t="n">
        <f aca="false">M109+M110+M111</f>
        <v>11.42</v>
      </c>
      <c r="N112" s="1211" t="n">
        <f aca="false">N109+N110+N111</f>
        <v>9.24</v>
      </c>
      <c r="O112" s="1209" t="n">
        <f aca="false">SUM(C112:N112)</f>
        <v>132</v>
      </c>
    </row>
    <row r="113" customFormat="false" ht="15" hidden="false" customHeight="true" outlineLevel="0" collapsed="false">
      <c r="B113" s="1213" t="s">
        <v>4707</v>
      </c>
      <c r="C113" s="1214" t="n">
        <f aca="false">$C$76</f>
        <v>34.4</v>
      </c>
      <c r="D113" s="1214" t="n">
        <f aca="false">$C$76</f>
        <v>34.4</v>
      </c>
      <c r="E113" s="1215" t="n">
        <f aca="false">$C$76</f>
        <v>34.4</v>
      </c>
      <c r="F113" s="1214" t="n">
        <f aca="false">$C$76</f>
        <v>34.4</v>
      </c>
      <c r="G113" s="1214" t="n">
        <f aca="false">$C$76</f>
        <v>34.4</v>
      </c>
      <c r="H113" s="1214" t="n">
        <f aca="false">$C$76</f>
        <v>34.4</v>
      </c>
      <c r="I113" s="1214" t="n">
        <f aca="false">$C$76</f>
        <v>34.4</v>
      </c>
      <c r="J113" s="1214" t="n">
        <f aca="false">$C$76</f>
        <v>34.4</v>
      </c>
      <c r="K113" s="1214" t="n">
        <f aca="false">$C$76</f>
        <v>34.4</v>
      </c>
      <c r="L113" s="1214" t="n">
        <f aca="false">$C$76</f>
        <v>34.4</v>
      </c>
      <c r="M113" s="1214" t="n">
        <f aca="false">$C$76</f>
        <v>34.4</v>
      </c>
      <c r="N113" s="1214" t="n">
        <f aca="false">$C$76</f>
        <v>34.4</v>
      </c>
    </row>
    <row r="114" customFormat="false" ht="15" hidden="false" customHeight="true" outlineLevel="0" collapsed="false">
      <c r="B114" s="1210" t="s">
        <v>4708</v>
      </c>
      <c r="C114" s="455" t="str">
        <f aca="false">IF(C112&gt;C113,"⚠","✓")</f>
        <v>✓</v>
      </c>
      <c r="D114" s="455" t="str">
        <f aca="false">IF(D112&gt;D113,"⚠","✓")</f>
        <v>✓</v>
      </c>
      <c r="E114" s="55" t="str">
        <f aca="false">IF(E112&gt;E113,"⚠","✓")</f>
        <v>✓</v>
      </c>
      <c r="F114" s="455" t="str">
        <f aca="false">IF(F112&gt;F113,"⚠","✓")</f>
        <v>✓</v>
      </c>
      <c r="G114" s="455" t="str">
        <f aca="false">IF(G112&gt;G113,"⚠","✓")</f>
        <v>✓</v>
      </c>
      <c r="H114" s="455" t="str">
        <f aca="false">IF(H112&gt;H113,"⚠","✓")</f>
        <v>✓</v>
      </c>
      <c r="I114" s="455" t="str">
        <f aca="false">IF(I112&gt;I113,"⚠","✓")</f>
        <v>✓</v>
      </c>
      <c r="J114" s="455" t="str">
        <f aca="false">IF(J112&gt;J113,"⚠","✓")</f>
        <v>✓</v>
      </c>
      <c r="K114" s="455" t="str">
        <f aca="false">IF(K112&gt;K113,"⚠","✓")</f>
        <v>✓</v>
      </c>
      <c r="L114" s="455" t="str">
        <f aca="false">IF(L112&gt;L113,"⚠","✓")</f>
        <v>✓</v>
      </c>
      <c r="M114" s="455" t="str">
        <f aca="false">IF(M112&gt;M113,"⚠","✓")</f>
        <v>✓</v>
      </c>
      <c r="N114" s="455" t="str">
        <f aca="false">IF(N112&gt;N113,"⚠","✓")</f>
        <v>✓</v>
      </c>
      <c r="O114" s="1216" t="str">
        <f aca="false">COUNTIF(C114:N114,"⚠")&amp;" mo over"</f>
        <v>0 mo over</v>
      </c>
    </row>
    <row r="115" customFormat="false" ht="15" hidden="false" customHeight="true" outlineLevel="0" collapsed="false">
      <c r="B115" s="6"/>
      <c r="E115" s="6"/>
    </row>
    <row r="116" customFormat="false" ht="33.75" hidden="false" customHeight="true" outlineLevel="0" collapsed="false">
      <c r="B116" s="575" t="s">
        <v>4709</v>
      </c>
      <c r="C116" s="575"/>
      <c r="D116" s="575"/>
      <c r="E116" s="575"/>
      <c r="F116" s="575"/>
      <c r="G116" s="575"/>
      <c r="H116" s="575"/>
    </row>
    <row r="117" customFormat="false" ht="21.75" hidden="false" customHeight="true" outlineLevel="0" collapsed="false">
      <c r="B117" s="1160" t="s">
        <v>4710</v>
      </c>
      <c r="C117" s="1217" t="n">
        <v>1.5</v>
      </c>
      <c r="E117" s="6"/>
      <c r="H117" s="538" t="s">
        <v>4711</v>
      </c>
    </row>
    <row r="118" customFormat="false" ht="21.75" hidden="false" customHeight="true" outlineLevel="0" collapsed="false">
      <c r="B118" s="1160" t="s">
        <v>4712</v>
      </c>
      <c r="C118" s="531" t="n">
        <v>80</v>
      </c>
      <c r="E118" s="6"/>
      <c r="H118" s="538" t="s">
        <v>4713</v>
      </c>
    </row>
    <row r="119" customFormat="false" ht="15" hidden="false" customHeight="true" outlineLevel="0" collapsed="false">
      <c r="B119" s="1160" t="s">
        <v>4714</v>
      </c>
      <c r="C119" s="541" t="n">
        <f aca="false">C117*C118</f>
        <v>120</v>
      </c>
      <c r="E119" s="6"/>
      <c r="H119" s="538" t="s">
        <v>4715</v>
      </c>
    </row>
    <row r="120" customFormat="false" ht="15" hidden="false" customHeight="true" outlineLevel="0" collapsed="false">
      <c r="B120" s="1160" t="s">
        <v>4716</v>
      </c>
      <c r="C120" s="541" t="n">
        <f aca="false">C83+C89+C95</f>
        <v>103</v>
      </c>
      <c r="E120" s="6"/>
      <c r="H120" s="538" t="s">
        <v>4717</v>
      </c>
    </row>
    <row r="121" customFormat="false" ht="15" hidden="false" customHeight="true" outlineLevel="0" collapsed="false">
      <c r="B121" s="1160" t="s">
        <v>4718</v>
      </c>
      <c r="C121" s="1218" t="n">
        <f aca="false">C120/C119</f>
        <v>0.858333333333333</v>
      </c>
      <c r="E121" s="6"/>
      <c r="H121" s="538" t="s">
        <v>4719</v>
      </c>
    </row>
    <row r="122" customFormat="false" ht="79.5" hidden="false" customHeight="true" outlineLevel="0" collapsed="false">
      <c r="B122" s="1210" t="s">
        <v>4720</v>
      </c>
      <c r="C122" s="1219" t="str">
        <f aca="false">IF(C120&lt;=C119,"✓ WITHIN sales capacity ("&amp;TEXT(C121,"0.0%")&amp;" used)","⚠ EXCEEDS sales capacity by "&amp;TEXT(C120-C119,"0")&amp;" leads/mo — hire BD")</f>
        <v>✓ WITHIN sales capacity (85.8% used)</v>
      </c>
      <c r="E122" s="6"/>
    </row>
    <row r="123" customFormat="false" ht="15" hidden="false" customHeight="true" outlineLevel="0" collapsed="false">
      <c r="B123" s="6"/>
      <c r="E123" s="6"/>
    </row>
    <row r="124" customFormat="false" ht="21.75" hidden="false" customHeight="true" outlineLevel="0" collapsed="false">
      <c r="B124" s="1160" t="s">
        <v>4721</v>
      </c>
      <c r="C124" s="326" t="n">
        <v>22000</v>
      </c>
      <c r="E124" s="6"/>
      <c r="H124" s="538" t="s">
        <v>4722</v>
      </c>
    </row>
    <row r="125" customFormat="false" ht="15" hidden="false" customHeight="true" outlineLevel="0" collapsed="false">
      <c r="B125" s="1160" t="s">
        <v>4723</v>
      </c>
      <c r="C125" s="547" t="n">
        <f aca="false">IF(C120&gt;C119,C124,0)</f>
        <v>0</v>
      </c>
      <c r="E125" s="6"/>
      <c r="H125" s="538" t="s">
        <v>4724</v>
      </c>
    </row>
    <row r="126" customFormat="false" ht="15" hidden="false" customHeight="true" outlineLevel="0" collapsed="false">
      <c r="B126" s="6"/>
      <c r="E126" s="6"/>
    </row>
    <row r="127" customFormat="false" ht="33.75" hidden="false" customHeight="true" outlineLevel="0" collapsed="false">
      <c r="B127" s="575" t="s">
        <v>4725</v>
      </c>
      <c r="C127" s="575"/>
      <c r="D127" s="575"/>
      <c r="E127" s="575"/>
      <c r="F127" s="575"/>
      <c r="G127" s="575"/>
      <c r="H127" s="575"/>
    </row>
    <row r="128" customFormat="false" ht="15" hidden="false" customHeight="true" outlineLevel="0" collapsed="false">
      <c r="B128" s="1160" t="s">
        <v>4726</v>
      </c>
      <c r="C128" s="541" t="n">
        <f aca="false">C85+C91+C97</f>
        <v>28.25</v>
      </c>
      <c r="E128" s="6"/>
      <c r="H128" s="538" t="s">
        <v>4727</v>
      </c>
    </row>
    <row r="129" customFormat="false" ht="15" hidden="false" customHeight="true" outlineLevel="0" collapsed="false">
      <c r="B129" s="1160" t="s">
        <v>4728</v>
      </c>
      <c r="C129" s="541" t="n">
        <f aca="false">D7+D8+D9</f>
        <v>11</v>
      </c>
      <c r="E129" s="6"/>
      <c r="H129" s="538" t="s">
        <v>4729</v>
      </c>
    </row>
    <row r="130" customFormat="false" ht="21.75" hidden="false" customHeight="true" outlineLevel="0" collapsed="false">
      <c r="B130" s="1160" t="s">
        <v>4730</v>
      </c>
      <c r="C130" s="1202" t="n">
        <f aca="false">C128-C129</f>
        <v>17.25</v>
      </c>
      <c r="E130" s="6"/>
      <c r="H130" s="538" t="s">
        <v>4731</v>
      </c>
    </row>
    <row r="131" customFormat="false" ht="21.75" hidden="false" customHeight="true" outlineLevel="0" collapsed="false">
      <c r="B131" s="1160" t="s">
        <v>4732</v>
      </c>
      <c r="C131" s="1220" t="n">
        <f aca="false">IFERROR(C130/C129,0)</f>
        <v>1.56818181818182</v>
      </c>
      <c r="E131" s="6"/>
      <c r="H131" s="538" t="s">
        <v>4733</v>
      </c>
    </row>
    <row r="132" customFormat="false" ht="57" hidden="false" customHeight="true" outlineLevel="0" collapsed="false">
      <c r="B132" s="1210" t="s">
        <v>4734</v>
      </c>
      <c r="C132" s="1219" t="str">
        <f aca="false">IF(ABS(C131)&lt;=0.1,"✓ ALIGNED (funnel matches plan within ±10%)",IF(C131&gt;0.2,"⚠ FUNNEL SLACK — could book more events than planned",IF(C131&lt;-0.2,"🛑 PIPELINE GAP — funnel cannot deliver planned events","◐ Marginal — review funnel inputs")))</f>
        <v>⚠ FUNNEL SLACK — could book more events than planned</v>
      </c>
      <c r="E132" s="6"/>
    </row>
    <row r="133" customFormat="false" ht="15" hidden="false" customHeight="true" outlineLevel="0" collapsed="false">
      <c r="B133" s="6"/>
      <c r="E133" s="6"/>
    </row>
    <row r="134" customFormat="false" ht="15" hidden="false" customHeight="true" outlineLevel="0" collapsed="false">
      <c r="B134" s="1160" t="s">
        <v>4735</v>
      </c>
      <c r="C134" s="541" t="n">
        <f aca="false">C128*12</f>
        <v>339</v>
      </c>
      <c r="E134" s="6"/>
      <c r="H134" s="538" t="s">
        <v>4736</v>
      </c>
    </row>
    <row r="135" customFormat="false" ht="15" hidden="false" customHeight="true" outlineLevel="0" collapsed="false">
      <c r="B135" s="1160" t="s">
        <v>4737</v>
      </c>
      <c r="C135" s="541" t="n">
        <f aca="false">C32*12</f>
        <v>132</v>
      </c>
      <c r="E135" s="6"/>
      <c r="H135" s="538" t="s">
        <v>4738</v>
      </c>
    </row>
    <row r="136" customFormat="false" ht="21.75" hidden="false" customHeight="true" outlineLevel="0" collapsed="false">
      <c r="B136" s="1160" t="s">
        <v>4739</v>
      </c>
      <c r="C136" s="547" t="n">
        <f aca="false">(C85*C21+C91*C22+C97*C23)*12</f>
        <v>2534100</v>
      </c>
      <c r="E136" s="6"/>
      <c r="H136" s="538" t="s">
        <v>4740</v>
      </c>
    </row>
    <row r="137" customFormat="false" ht="15" hidden="false" customHeight="true" outlineLevel="0" collapsed="false">
      <c r="B137" s="1160" t="s">
        <v>4741</v>
      </c>
      <c r="C137" s="547" t="n">
        <f aca="false">'Events · Revenue'!E18</f>
        <v>1206210</v>
      </c>
      <c r="E137" s="6"/>
      <c r="H137" s="538" t="s">
        <v>4742</v>
      </c>
    </row>
    <row r="138" customFormat="false" ht="15" hidden="false" customHeight="true" outlineLevel="0" collapsed="false">
      <c r="B138" s="1160" t="s">
        <v>4743</v>
      </c>
      <c r="C138" s="1221" t="n">
        <f aca="false">C136-C137</f>
        <v>1327890</v>
      </c>
      <c r="E138" s="6"/>
      <c r="H138" s="538" t="s">
        <v>4744</v>
      </c>
    </row>
    <row r="139" customFormat="false" ht="15" hidden="false" customHeight="true" outlineLevel="0" collapsed="false">
      <c r="B139" s="6"/>
      <c r="E139" s="6"/>
    </row>
    <row r="140" customFormat="false" ht="120" hidden="false" customHeight="true" outlineLevel="0" collapsed="false">
      <c r="B140" s="134" t="s">
        <v>4745</v>
      </c>
      <c r="C140" s="134"/>
      <c r="D140" s="134"/>
      <c r="E140" s="134"/>
      <c r="F140" s="134"/>
      <c r="G140" s="134"/>
      <c r="H140" s="134"/>
    </row>
    <row r="141" customFormat="false" ht="15" hidden="false" customHeight="true" outlineLevel="0" collapsed="false">
      <c r="B141" s="6"/>
      <c r="E141" s="6"/>
    </row>
    <row r="142" customFormat="false" ht="33.75" hidden="false" customHeight="true" outlineLevel="0" collapsed="false">
      <c r="B142" s="62" t="s">
        <v>4746</v>
      </c>
      <c r="C142" s="62"/>
      <c r="D142" s="62"/>
      <c r="E142" s="62"/>
      <c r="F142" s="62"/>
      <c r="G142" s="62"/>
      <c r="H142" s="62"/>
    </row>
    <row r="143" customFormat="false" ht="15" hidden="false" customHeight="true" outlineLevel="0" collapsed="false">
      <c r="B143" s="1160" t="s">
        <v>4747</v>
      </c>
      <c r="C143" s="1222" t="n">
        <f aca="false">D7+D8+D9</f>
        <v>11</v>
      </c>
      <c r="E143" s="6"/>
      <c r="H143" s="538" t="s">
        <v>4748</v>
      </c>
    </row>
    <row r="144" customFormat="false" ht="15" hidden="false" customHeight="true" outlineLevel="0" collapsed="false">
      <c r="B144" s="1160" t="s">
        <v>4749</v>
      </c>
      <c r="C144" s="1222" t="n">
        <f aca="false">C85+C91+C97</f>
        <v>28.25</v>
      </c>
      <c r="E144" s="6"/>
      <c r="H144" s="538" t="s">
        <v>4750</v>
      </c>
    </row>
    <row r="145" customFormat="false" ht="21.75" hidden="false" customHeight="true" outlineLevel="0" collapsed="false">
      <c r="B145" s="1210" t="s">
        <v>4751</v>
      </c>
      <c r="C145" s="1223" t="n">
        <f aca="false">IFERROR(C144/C143,0)</f>
        <v>2.56818181818182</v>
      </c>
      <c r="E145" s="6"/>
      <c r="H145" s="538" t="s">
        <v>4752</v>
      </c>
    </row>
    <row r="146" customFormat="false" ht="25.5" hidden="false" customHeight="true" outlineLevel="0" collapsed="false">
      <c r="B146" s="1224" t="s">
        <v>4753</v>
      </c>
      <c r="C146" s="1225" t="str">
        <f aca="false">IF(C145&gt;=1.2,"✅ STRONG (funnel +20% slack vs revenue)",IF(C145&gt;=1,"✅ OK (funnel covers revenue plan)",IF(C145&gt;=0.9,"⚠ MARGINAL (funnel within 10% of plan)","❌ UNDER-SUPPORTED (funnel falls short — reduce events OR invest in lead-gen)")))</f>
        <v>✅ STRONG (funnel +20% slack vs revenue)</v>
      </c>
      <c r="D146" s="1225"/>
      <c r="E146" s="1225"/>
      <c r="F146" s="1225"/>
      <c r="G146" s="1225"/>
    </row>
    <row r="147" customFormat="false" ht="15" hidden="false" customHeight="true" outlineLevel="0" collapsed="false">
      <c r="B147" s="6"/>
      <c r="E147" s="6"/>
    </row>
    <row r="148" customFormat="false" ht="33.75" hidden="false" customHeight="true" outlineLevel="0" collapsed="false">
      <c r="B148" s="1226" t="s">
        <v>4754</v>
      </c>
      <c r="C148" s="1226"/>
      <c r="D148" s="1226"/>
      <c r="E148" s="1226"/>
      <c r="F148" s="1226"/>
      <c r="G148" s="1226"/>
      <c r="H148" s="1226"/>
    </row>
    <row r="149" customFormat="false" ht="19.5" hidden="false" customHeight="true" outlineLevel="0" collapsed="false">
      <c r="B149" s="97" t="s">
        <v>4684</v>
      </c>
      <c r="C149" s="98" t="s">
        <v>4755</v>
      </c>
      <c r="D149" s="98" t="s">
        <v>4756</v>
      </c>
      <c r="E149" s="99" t="s">
        <v>4757</v>
      </c>
      <c r="F149" s="98" t="s">
        <v>4141</v>
      </c>
      <c r="G149" s="98" t="s">
        <v>669</v>
      </c>
    </row>
    <row r="150" customFormat="false" ht="15" hidden="false" customHeight="true" outlineLevel="0" collapsed="false">
      <c r="B150" s="1160" t="s">
        <v>4758</v>
      </c>
      <c r="C150" s="1227" t="n">
        <f aca="false">D7</f>
        <v>6</v>
      </c>
      <c r="D150" s="1227" t="n">
        <f aca="false">C85</f>
        <v>12</v>
      </c>
      <c r="E150" s="1228" t="n">
        <f aca="false">IFERROR(D150/C150,0)</f>
        <v>2</v>
      </c>
      <c r="F150" s="1229" t="n">
        <f aca="false">D150-C150</f>
        <v>6</v>
      </c>
      <c r="G150" s="1230" t="str">
        <f aca="false">IF(E150&gt;=1,"✅",IF(E150&gt;=0.9,"⚠","❌"))</f>
        <v>✅</v>
      </c>
    </row>
    <row r="151" customFormat="false" ht="15" hidden="false" customHeight="true" outlineLevel="0" collapsed="false">
      <c r="B151" s="1160" t="s">
        <v>4759</v>
      </c>
      <c r="C151" s="1227" t="n">
        <f aca="false">D8</f>
        <v>4</v>
      </c>
      <c r="D151" s="1227" t="n">
        <f aca="false">C91</f>
        <v>12.25</v>
      </c>
      <c r="E151" s="1228" t="n">
        <f aca="false">IFERROR(D151/C151,0)</f>
        <v>3.0625</v>
      </c>
      <c r="F151" s="1229" t="n">
        <f aca="false">D151-C151</f>
        <v>8.25</v>
      </c>
      <c r="G151" s="1230" t="str">
        <f aca="false">IF(E151&gt;=1,"✅",IF(E151&gt;=0.9,"⚠","❌"))</f>
        <v>✅</v>
      </c>
    </row>
    <row r="152" customFormat="false" ht="15" hidden="false" customHeight="true" outlineLevel="0" collapsed="false">
      <c r="B152" s="1160" t="s">
        <v>149</v>
      </c>
      <c r="C152" s="1227" t="n">
        <f aca="false">D9</f>
        <v>1</v>
      </c>
      <c r="D152" s="1227" t="n">
        <f aca="false">C97</f>
        <v>4</v>
      </c>
      <c r="E152" s="1228" t="n">
        <f aca="false">IFERROR(D152/C152,0)</f>
        <v>4</v>
      </c>
      <c r="F152" s="1229" t="n">
        <f aca="false">D152-C152</f>
        <v>3</v>
      </c>
      <c r="G152" s="1230" t="str">
        <f aca="false">IF(E152&gt;=1,"✅",IF(E152&gt;=0.9,"⚠","❌"))</f>
        <v>✅</v>
      </c>
    </row>
    <row r="153" customFormat="false" ht="15" hidden="false" customHeight="true" outlineLevel="0" collapsed="false">
      <c r="B153" s="1224" t="s">
        <v>810</v>
      </c>
      <c r="C153" s="1231" t="n">
        <f aca="false">SUM(C150:C152)</f>
        <v>11</v>
      </c>
      <c r="D153" s="1231" t="n">
        <f aca="false">SUM(D150:D152)</f>
        <v>28.25</v>
      </c>
      <c r="E153" s="1232" t="n">
        <f aca="false">IFERROR(D153/C153,0)</f>
        <v>2.56818181818182</v>
      </c>
      <c r="F153" s="1233" t="n">
        <f aca="false">D153-C153</f>
        <v>17.25</v>
      </c>
      <c r="G153" s="1234" t="str">
        <f aca="false">IF(E153&gt;=1,"✅",IF(E153&gt;=0.9,"⚠","❌"))</f>
        <v>✅</v>
      </c>
    </row>
    <row r="154" customFormat="false" ht="15" hidden="false" customHeight="true" outlineLevel="0" collapsed="false">
      <c r="B154" s="6"/>
      <c r="E154" s="6"/>
    </row>
    <row r="155" customFormat="false" ht="33.75" hidden="false" customHeight="true" outlineLevel="0" collapsed="false">
      <c r="B155" s="1226" t="s">
        <v>4760</v>
      </c>
      <c r="C155" s="1226"/>
      <c r="D155" s="1226"/>
      <c r="E155" s="1226"/>
      <c r="F155" s="1226"/>
      <c r="G155" s="1226"/>
      <c r="H155" s="1226"/>
    </row>
    <row r="156" customFormat="false" ht="15" hidden="false" customHeight="true" outlineLevel="0" collapsed="false">
      <c r="B156" s="97" t="s">
        <v>738</v>
      </c>
      <c r="C156" s="98" t="s">
        <v>4761</v>
      </c>
      <c r="D156" s="98" t="s">
        <v>4762</v>
      </c>
      <c r="E156" s="99" t="s">
        <v>4757</v>
      </c>
      <c r="F156" s="98" t="s">
        <v>669</v>
      </c>
    </row>
    <row r="157" customFormat="false" ht="15" hidden="false" customHeight="true" outlineLevel="0" collapsed="false">
      <c r="B157" s="1160" t="s">
        <v>2449</v>
      </c>
      <c r="C157" s="1227" t="n">
        <f aca="false">C7+C8+C9</f>
        <v>11.1</v>
      </c>
      <c r="D157" s="1227" t="n">
        <f aca="false">D83*C84+D89*C90+D95*C96</f>
        <v>22.4</v>
      </c>
      <c r="E157" s="1228" t="n">
        <f aca="false">IFERROR(D157/C157,0)</f>
        <v>2.01801801801802</v>
      </c>
      <c r="F157" s="1229" t="n">
        <f aca="false">D157-C157</f>
        <v>11.3</v>
      </c>
      <c r="G157" s="1230" t="str">
        <f aca="false">IF(E157&gt;=1,"✅",IF(E157&gt;=0.9,"⚠","❌"))</f>
        <v>✅</v>
      </c>
    </row>
    <row r="158" customFormat="false" ht="15" hidden="false" customHeight="true" outlineLevel="0" collapsed="false">
      <c r="B158" s="1160" t="s">
        <v>2283</v>
      </c>
      <c r="C158" s="1227" t="n">
        <f aca="false">D7+D8+D9</f>
        <v>11</v>
      </c>
      <c r="D158" s="1227" t="n">
        <f aca="false">E83*C84+E89*C90+E95*C96</f>
        <v>28.25</v>
      </c>
      <c r="E158" s="1228" t="n">
        <f aca="false">IFERROR(D158/C158,0)</f>
        <v>2.56818181818182</v>
      </c>
      <c r="F158" s="1229" t="n">
        <f aca="false">D158-C158</f>
        <v>17.25</v>
      </c>
      <c r="G158" s="1230" t="str">
        <f aca="false">IF(E158&gt;=1,"✅",IF(E158&gt;=0.9,"⚠","❌"))</f>
        <v>✅</v>
      </c>
    </row>
    <row r="159" customFormat="false" ht="15" hidden="false" customHeight="true" outlineLevel="0" collapsed="false">
      <c r="B159" s="1160" t="s">
        <v>2450</v>
      </c>
      <c r="C159" s="1227" t="n">
        <f aca="false">E7+E8+E9</f>
        <v>12.1</v>
      </c>
      <c r="D159" s="1227" t="n">
        <f aca="false">F83*C84+F89*C90+F95*C96</f>
        <v>33.6</v>
      </c>
      <c r="E159" s="1228" t="n">
        <f aca="false">IFERROR(D159/C159,0)</f>
        <v>2.77685950413223</v>
      </c>
      <c r="F159" s="1229" t="n">
        <f aca="false">D159-C159</f>
        <v>21.5</v>
      </c>
      <c r="G159" s="1230" t="str">
        <f aca="false">IF(E159&gt;=1,"✅",IF(E159&gt;=0.9,"⚠","❌"))</f>
        <v>✅</v>
      </c>
    </row>
    <row r="160" customFormat="false" ht="15" hidden="false" customHeight="true" outlineLevel="0" collapsed="false">
      <c r="B160" s="6"/>
      <c r="E160" s="6"/>
    </row>
    <row r="161" customFormat="false" ht="120" hidden="false" customHeight="true" outlineLevel="0" collapsed="false">
      <c r="B161" s="134" t="s">
        <v>4763</v>
      </c>
      <c r="C161" s="134"/>
      <c r="D161" s="134"/>
      <c r="E161" s="134"/>
      <c r="F161" s="134"/>
      <c r="G161" s="134"/>
      <c r="H161" s="134"/>
    </row>
    <row r="162" customFormat="false" ht="15" hidden="false" customHeight="true" outlineLevel="0" collapsed="false">
      <c r="B162" s="6"/>
      <c r="E162" s="6"/>
    </row>
    <row r="163" customFormat="false" ht="33.75" hidden="false" customHeight="true" outlineLevel="0" collapsed="false">
      <c r="B163" s="575" t="s">
        <v>4764</v>
      </c>
      <c r="C163" s="575"/>
      <c r="D163" s="575"/>
      <c r="E163" s="575"/>
      <c r="F163" s="575"/>
      <c r="G163" s="575"/>
      <c r="H163" s="575"/>
      <c r="I163" s="575"/>
      <c r="J163" s="575"/>
      <c r="K163" s="575"/>
      <c r="L163" s="575"/>
      <c r="M163" s="575"/>
      <c r="N163" s="575"/>
      <c r="O163" s="575"/>
    </row>
    <row r="164" customFormat="false" ht="21.75" hidden="false" customHeight="true" outlineLevel="0" collapsed="false">
      <c r="B164" s="97" t="s">
        <v>4765</v>
      </c>
      <c r="C164" s="98" t="s">
        <v>4766</v>
      </c>
      <c r="D164" s="98" t="s">
        <v>4767</v>
      </c>
      <c r="E164" s="99" t="s">
        <v>2525</v>
      </c>
      <c r="F164" s="98" t="s">
        <v>4768</v>
      </c>
      <c r="G164" s="98" t="s">
        <v>4769</v>
      </c>
      <c r="H164" s="98" t="s">
        <v>4770</v>
      </c>
      <c r="I164" s="98" t="s">
        <v>611</v>
      </c>
    </row>
    <row r="165" customFormat="false" ht="15" hidden="false" customHeight="true" outlineLevel="0" collapsed="false">
      <c r="B165" s="113" t="s">
        <v>4771</v>
      </c>
      <c r="C165" s="1235" t="n">
        <v>10</v>
      </c>
      <c r="D165" s="1235" t="n">
        <v>12</v>
      </c>
      <c r="E165" s="1236" t="n">
        <v>4</v>
      </c>
      <c r="F165" s="1237" t="n">
        <f aca="false">C165+D165+E165</f>
        <v>26</v>
      </c>
      <c r="G165" s="547" t="n">
        <f aca="false">(C165*$C$21+D165*$C$22+E165*$C$23)/F165</f>
        <v>7330.76923076923</v>
      </c>
      <c r="H165" s="547" t="n">
        <f aca="false">(C165*$C$21+D165*$C$22+E165*$C$23)*12</f>
        <v>2287200</v>
      </c>
      <c r="I165" s="1238" t="s">
        <v>4772</v>
      </c>
    </row>
    <row r="166" customFormat="false" ht="15" hidden="false" customHeight="true" outlineLevel="0" collapsed="false">
      <c r="B166" s="113" t="s">
        <v>4773</v>
      </c>
      <c r="C166" s="1235" t="n">
        <v>13</v>
      </c>
      <c r="D166" s="1235" t="n">
        <v>9</v>
      </c>
      <c r="E166" s="1236" t="n">
        <v>4</v>
      </c>
      <c r="F166" s="1237" t="n">
        <f aca="false">C166+D166+E166</f>
        <v>26</v>
      </c>
      <c r="G166" s="547" t="n">
        <f aca="false">(C166*$C$21+D166*$C$22+E166*$C$23)/F166</f>
        <v>7700</v>
      </c>
      <c r="H166" s="547" t="n">
        <f aca="false">(C166*$C$21+D166*$C$22+E166*$C$23)*12</f>
        <v>2402400</v>
      </c>
      <c r="I166" s="1239" t="n">
        <f aca="false">H166-$H$165</f>
        <v>115200</v>
      </c>
    </row>
    <row r="167" customFormat="false" ht="15" hidden="false" customHeight="true" outlineLevel="0" collapsed="false">
      <c r="B167" s="1240" t="s">
        <v>4774</v>
      </c>
      <c r="C167" s="1241" t="n">
        <v>6</v>
      </c>
      <c r="D167" s="1241" t="n">
        <v>16</v>
      </c>
      <c r="E167" s="1242" t="n">
        <v>4</v>
      </c>
      <c r="F167" s="1243" t="n">
        <f aca="false">C167+D167+E167</f>
        <v>26</v>
      </c>
      <c r="G167" s="1244" t="n">
        <f aca="false">(C167*$C$21+D167*$C$22+E167*$C$23)/F167</f>
        <v>6838.46153846154</v>
      </c>
      <c r="H167" s="1244" t="n">
        <f aca="false">(C167*$C$21+D167*$C$22+E167*$C$23)*12</f>
        <v>2133600</v>
      </c>
      <c r="I167" s="1245" t="n">
        <f aca="false">H167-$H$165</f>
        <v>-153600</v>
      </c>
    </row>
    <row r="168" customFormat="false" ht="15" hidden="false" customHeight="true" outlineLevel="0" collapsed="false">
      <c r="B168" s="113" t="s">
        <v>4775</v>
      </c>
      <c r="C168" s="1235" t="n">
        <v>8</v>
      </c>
      <c r="D168" s="1235" t="n">
        <v>10</v>
      </c>
      <c r="E168" s="1236" t="n">
        <v>8</v>
      </c>
      <c r="F168" s="1237" t="n">
        <f aca="false">C168+D168+E168</f>
        <v>26</v>
      </c>
      <c r="G168" s="547" t="n">
        <f aca="false">(C168*$C$21+D168*$C$22+E168*$C$23)/F168</f>
        <v>6884.61538461539</v>
      </c>
      <c r="H168" s="547" t="n">
        <f aca="false">(C168*$C$21+D168*$C$22+E168*$C$23)*12</f>
        <v>2148000</v>
      </c>
      <c r="I168" s="1239" t="n">
        <f aca="false">H168-$H$165</f>
        <v>-139200</v>
      </c>
    </row>
    <row r="169" customFormat="false" ht="15" hidden="false" customHeight="true" outlineLevel="0" collapsed="false">
      <c r="B169" s="113" t="s">
        <v>4776</v>
      </c>
      <c r="C169" s="1235" t="n">
        <v>9</v>
      </c>
      <c r="D169" s="1235" t="n">
        <v>9</v>
      </c>
      <c r="E169" s="1236" t="n">
        <v>8</v>
      </c>
      <c r="F169" s="1237" t="n">
        <f aca="false">C169+D169+E169</f>
        <v>26</v>
      </c>
      <c r="G169" s="547" t="n">
        <f aca="false">(C169*$C$21+D169*$C$22+E169*$C$23)/F169</f>
        <v>7007.69230769231</v>
      </c>
      <c r="H169" s="547" t="n">
        <f aca="false">(C169*$C$21+D169*$C$22+E169*$C$23)*12</f>
        <v>2186400</v>
      </c>
      <c r="I169" s="1239" t="n">
        <f aca="false">H169-$H$165</f>
        <v>-100800</v>
      </c>
    </row>
    <row r="170" customFormat="false" ht="15" hidden="false" customHeight="true" outlineLevel="0" collapsed="false">
      <c r="B170" s="1240" t="s">
        <v>4777</v>
      </c>
      <c r="C170" s="1241" t="n">
        <v>4</v>
      </c>
      <c r="D170" s="1241" t="n">
        <v>18</v>
      </c>
      <c r="E170" s="1242" t="n">
        <v>4</v>
      </c>
      <c r="F170" s="1243" t="n">
        <f aca="false">C170+D170+E170</f>
        <v>26</v>
      </c>
      <c r="G170" s="1244" t="n">
        <f aca="false">(C170*$C$21+D170*$C$22+E170*$C$23)/F170</f>
        <v>6592.30769230769</v>
      </c>
      <c r="H170" s="1244" t="n">
        <f aca="false">(C170*$C$21+D170*$C$22+E170*$C$23)*12</f>
        <v>2056800</v>
      </c>
      <c r="I170" s="1245" t="n">
        <f aca="false">H170-$H$165</f>
        <v>-230400</v>
      </c>
    </row>
    <row r="171" customFormat="false" ht="15" hidden="false" customHeight="true" outlineLevel="0" collapsed="false">
      <c r="B171" s="6"/>
      <c r="E171" s="6"/>
    </row>
    <row r="172" customFormat="false" ht="93.75" hidden="false" customHeight="true" outlineLevel="0" collapsed="false">
      <c r="B172" s="134" t="s">
        <v>4778</v>
      </c>
      <c r="C172" s="134"/>
      <c r="D172" s="134"/>
      <c r="E172" s="134"/>
      <c r="F172" s="134"/>
      <c r="G172" s="134"/>
      <c r="H172" s="134"/>
      <c r="I172" s="134"/>
      <c r="J172" s="134"/>
      <c r="K172" s="134"/>
      <c r="L172" s="134"/>
      <c r="M172" s="134"/>
      <c r="N172" s="134"/>
      <c r="O172" s="134"/>
    </row>
    <row r="173" customFormat="false" ht="15" hidden="false" customHeight="true" outlineLevel="0" collapsed="false">
      <c r="B173" s="6"/>
      <c r="E173" s="6"/>
    </row>
    <row r="174" customFormat="false" ht="33.75" hidden="false" customHeight="true" outlineLevel="0" collapsed="false">
      <c r="B174" s="575" t="s">
        <v>4779</v>
      </c>
      <c r="C174" s="575"/>
      <c r="D174" s="575"/>
      <c r="E174" s="575"/>
      <c r="F174" s="575"/>
      <c r="G174" s="575"/>
      <c r="H174" s="575"/>
      <c r="I174" s="575"/>
      <c r="J174" s="575"/>
      <c r="K174" s="575"/>
      <c r="L174" s="575"/>
      <c r="M174" s="575"/>
      <c r="N174" s="575"/>
      <c r="O174" s="575"/>
    </row>
    <row r="175" customFormat="false" ht="21.75" hidden="false" customHeight="true" outlineLevel="0" collapsed="false">
      <c r="B175" s="97" t="s">
        <v>4780</v>
      </c>
      <c r="C175" s="98" t="s">
        <v>4781</v>
      </c>
      <c r="D175" s="98" t="s">
        <v>4782</v>
      </c>
      <c r="E175" s="99" t="s">
        <v>4783</v>
      </c>
      <c r="F175" s="98" t="s">
        <v>4784</v>
      </c>
      <c r="G175" s="98" t="s">
        <v>4785</v>
      </c>
    </row>
    <row r="176" customFormat="false" ht="15" hidden="false" customHeight="true" outlineLevel="0" collapsed="false">
      <c r="B176" s="113" t="s">
        <v>4786</v>
      </c>
      <c r="C176" s="1246" t="n">
        <v>33.6</v>
      </c>
      <c r="D176" s="1247" t="n">
        <f aca="false">C176/$C$76</f>
        <v>0.976744186046512</v>
      </c>
      <c r="E176" s="1248" t="n">
        <f aca="false">MAX(0,C176-$C$76)</f>
        <v>0</v>
      </c>
      <c r="F176" s="360" t="n">
        <f aca="false">E176*6200</f>
        <v>0</v>
      </c>
      <c r="G176" s="1249" t="n">
        <f aca="false">F176*3</f>
        <v>0</v>
      </c>
    </row>
    <row r="177" customFormat="false" ht="15" hidden="false" customHeight="true" outlineLevel="0" collapsed="false">
      <c r="B177" s="113" t="s">
        <v>4787</v>
      </c>
      <c r="C177" s="1246" t="n">
        <v>39.95</v>
      </c>
      <c r="D177" s="1247" t="n">
        <f aca="false">C177/$C$76</f>
        <v>1.16133720930233</v>
      </c>
      <c r="E177" s="1248" t="n">
        <f aca="false">MAX(0,C177-$C$76)</f>
        <v>5.55</v>
      </c>
      <c r="F177" s="360" t="n">
        <f aca="false">E177*6200</f>
        <v>34410</v>
      </c>
      <c r="G177" s="1249" t="n">
        <f aca="false">F177*3</f>
        <v>103230</v>
      </c>
    </row>
    <row r="178" customFormat="false" ht="15" hidden="false" customHeight="true" outlineLevel="0" collapsed="false">
      <c r="B178" s="1240" t="s">
        <v>4788</v>
      </c>
      <c r="C178" s="1250" t="n">
        <v>53.7</v>
      </c>
      <c r="D178" s="1251" t="n">
        <f aca="false">C178/$C$76</f>
        <v>1.56104651162791</v>
      </c>
      <c r="E178" s="1252" t="n">
        <f aca="false">MAX(0,C178-$C$76)</f>
        <v>19.3</v>
      </c>
      <c r="F178" s="1253" t="n">
        <f aca="false">E178*6200</f>
        <v>119660</v>
      </c>
      <c r="G178" s="1254" t="n">
        <f aca="false">F178*3</f>
        <v>358980</v>
      </c>
    </row>
    <row r="179" customFormat="false" ht="15" hidden="false" customHeight="true" outlineLevel="0" collapsed="false">
      <c r="B179" s="6"/>
      <c r="E179" s="6"/>
    </row>
    <row r="180" customFormat="false" ht="120" hidden="false" customHeight="true" outlineLevel="0" collapsed="false">
      <c r="B180" s="134" t="s">
        <v>4789</v>
      </c>
      <c r="C180" s="134"/>
      <c r="D180" s="134"/>
      <c r="E180" s="134"/>
      <c r="F180" s="134"/>
      <c r="G180" s="134"/>
      <c r="H180" s="134"/>
      <c r="I180" s="134"/>
      <c r="J180" s="134"/>
      <c r="K180" s="134"/>
      <c r="L180" s="134"/>
      <c r="M180" s="134"/>
      <c r="N180" s="134"/>
      <c r="O180" s="134"/>
    </row>
  </sheetData>
  <mergeCells count="24">
    <mergeCell ref="B2:F2"/>
    <mergeCell ref="G2:J2"/>
    <mergeCell ref="B3:J3"/>
    <mergeCell ref="G4:H4"/>
    <mergeCell ref="B5:E5"/>
    <mergeCell ref="B17:H17"/>
    <mergeCell ref="B30:H30"/>
    <mergeCell ref="B38:H38"/>
    <mergeCell ref="B44:H44"/>
    <mergeCell ref="B81:H81"/>
    <mergeCell ref="B100:H100"/>
    <mergeCell ref="B106:N106"/>
    <mergeCell ref="B116:H116"/>
    <mergeCell ref="B127:H127"/>
    <mergeCell ref="B140:H140"/>
    <mergeCell ref="B142:H142"/>
    <mergeCell ref="C146:G146"/>
    <mergeCell ref="B148:H148"/>
    <mergeCell ref="B155:H155"/>
    <mergeCell ref="B161:H161"/>
    <mergeCell ref="B163:O163"/>
    <mergeCell ref="B172:O172"/>
    <mergeCell ref="B174:O174"/>
    <mergeCell ref="B180:O18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A1:I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20"/>
    <col collapsed="false" customWidth="true" hidden="false" outlineLevel="0" max="6" min="5" style="0" width="15"/>
    <col collapsed="false" customWidth="true" hidden="false" outlineLevel="0" max="7" min="7" style="0" width="25"/>
    <col collapsed="false" customWidth="true" hidden="false" outlineLevel="0" max="9" min="8" style="0" width="9"/>
  </cols>
  <sheetData>
    <row r="1" customFormat="false" ht="3.75" hidden="false" customHeight="true" outlineLevel="0" collapsed="false">
      <c r="A1" s="314"/>
      <c r="B1" s="315"/>
      <c r="C1" s="316"/>
      <c r="D1" s="315"/>
      <c r="E1" s="316"/>
      <c r="F1" s="316"/>
      <c r="G1" s="316"/>
      <c r="H1" s="2"/>
      <c r="I1" s="2"/>
    </row>
    <row r="2" customFormat="false" ht="27.75" hidden="false" customHeight="true" outlineLevel="0" collapsed="false">
      <c r="A2" s="314"/>
      <c r="B2" s="15" t="s">
        <v>4790</v>
      </c>
      <c r="C2" s="15"/>
      <c r="D2" s="15"/>
      <c r="E2" s="15"/>
      <c r="F2" s="15"/>
      <c r="G2" s="89" t="s">
        <v>995</v>
      </c>
      <c r="H2" s="89"/>
      <c r="I2" s="89"/>
    </row>
    <row r="3" customFormat="false" ht="33.75" hidden="false" customHeight="true" outlineLevel="0" collapsed="false">
      <c r="A3" s="314"/>
      <c r="B3" s="529" t="s">
        <v>4791</v>
      </c>
      <c r="C3" s="529"/>
      <c r="D3" s="529"/>
      <c r="E3" s="529"/>
      <c r="F3" s="529"/>
      <c r="G3" s="529"/>
      <c r="H3" s="529"/>
      <c r="I3" s="529"/>
    </row>
    <row r="4" customFormat="false" ht="21.75" hidden="false" customHeight="true" outlineLevel="0" collapsed="false">
      <c r="A4" s="314"/>
      <c r="B4" s="317"/>
      <c r="C4" s="314"/>
      <c r="D4" s="317"/>
      <c r="E4" s="314"/>
      <c r="F4" s="314" t="s">
        <v>3856</v>
      </c>
      <c r="G4" s="314"/>
    </row>
    <row r="5" customFormat="false" ht="78.75" hidden="false" customHeight="true" outlineLevel="0" collapsed="false">
      <c r="A5" s="314"/>
      <c r="B5" s="1255" t="s">
        <v>4792</v>
      </c>
      <c r="C5" s="1255"/>
      <c r="D5" s="1255"/>
      <c r="E5" s="1255"/>
      <c r="F5" s="1255"/>
      <c r="G5" s="1255"/>
      <c r="H5" s="1255"/>
      <c r="I5" s="1255"/>
    </row>
    <row r="6" customFormat="false" ht="21.75" hidden="false" customHeight="true" outlineLevel="0" collapsed="false">
      <c r="A6" s="314"/>
      <c r="B6" s="317"/>
      <c r="C6" s="314"/>
      <c r="D6" s="317"/>
      <c r="E6" s="314"/>
      <c r="F6" s="314"/>
      <c r="G6" s="314"/>
    </row>
    <row r="7" customFormat="false" ht="21.75" hidden="false" customHeight="true" outlineLevel="0" collapsed="false">
      <c r="A7" s="314"/>
      <c r="B7" s="97" t="s">
        <v>3857</v>
      </c>
      <c r="C7" s="98" t="s">
        <v>393</v>
      </c>
      <c r="D7" s="99" t="s">
        <v>1658</v>
      </c>
      <c r="E7" s="98" t="s">
        <v>3083</v>
      </c>
      <c r="F7" s="98" t="s">
        <v>102</v>
      </c>
      <c r="G7" s="98" t="s">
        <v>3859</v>
      </c>
    </row>
    <row r="8" customFormat="false" ht="21.75" hidden="false" customHeight="true" outlineLevel="0" collapsed="false">
      <c r="A8" s="314"/>
      <c r="B8" s="575" t="s">
        <v>4793</v>
      </c>
      <c r="C8" s="575"/>
      <c r="D8" s="575"/>
      <c r="E8" s="575"/>
      <c r="F8" s="575"/>
      <c r="G8" s="575"/>
      <c r="H8" s="575"/>
      <c r="I8" s="575"/>
    </row>
    <row r="9" customFormat="false" ht="27.75" hidden="false" customHeight="true" outlineLevel="0" collapsed="false">
      <c r="A9" s="314"/>
      <c r="B9" s="113" t="s">
        <v>4794</v>
      </c>
      <c r="C9" s="541" t="n">
        <f aca="false">'Events · Drivers'!D7</f>
        <v>6</v>
      </c>
      <c r="D9" s="108" t="s">
        <v>4795</v>
      </c>
      <c r="E9" s="1256" t="s">
        <v>4796</v>
      </c>
      <c r="F9" s="1257" t="s">
        <v>3864</v>
      </c>
      <c r="G9" s="1258" t="s">
        <v>4797</v>
      </c>
    </row>
    <row r="10" customFormat="false" ht="27.75" hidden="false" customHeight="true" outlineLevel="0" collapsed="false">
      <c r="A10" s="314"/>
      <c r="B10" s="113" t="s">
        <v>4798</v>
      </c>
      <c r="C10" s="541" t="n">
        <f aca="false">'Events · Drivers'!D8</f>
        <v>4</v>
      </c>
      <c r="D10" s="108" t="s">
        <v>4799</v>
      </c>
      <c r="E10" s="1256" t="s">
        <v>4796</v>
      </c>
      <c r="F10" s="1257" t="s">
        <v>3864</v>
      </c>
      <c r="G10" s="1258" t="s">
        <v>4800</v>
      </c>
    </row>
    <row r="11" customFormat="false" ht="27.75" hidden="false" customHeight="true" outlineLevel="0" collapsed="false">
      <c r="A11" s="314"/>
      <c r="B11" s="113" t="s">
        <v>4801</v>
      </c>
      <c r="C11" s="541" t="n">
        <f aca="false">'Events · Drivers'!D9</f>
        <v>1</v>
      </c>
      <c r="D11" s="108" t="s">
        <v>4802</v>
      </c>
      <c r="E11" s="1256" t="s">
        <v>4796</v>
      </c>
      <c r="F11" s="1259" t="s">
        <v>4803</v>
      </c>
      <c r="G11" s="1258" t="s">
        <v>4804</v>
      </c>
    </row>
    <row r="12" customFormat="false" ht="27.75" hidden="false" customHeight="true" outlineLevel="0" collapsed="false">
      <c r="A12" s="314"/>
      <c r="B12" s="113" t="s">
        <v>4805</v>
      </c>
      <c r="C12" s="541" t="n">
        <f aca="false">'Events · Drivers'!C32*12</f>
        <v>132</v>
      </c>
      <c r="D12" s="108" t="s">
        <v>4806</v>
      </c>
      <c r="E12" s="1260" t="s">
        <v>4807</v>
      </c>
      <c r="F12" s="1257" t="s">
        <v>1600</v>
      </c>
      <c r="G12" s="1258" t="s">
        <v>4808</v>
      </c>
    </row>
    <row r="13" customFormat="false" ht="27.75" hidden="false" customHeight="true" outlineLevel="0" collapsed="false">
      <c r="A13" s="314"/>
      <c r="B13" s="113" t="s">
        <v>4809</v>
      </c>
      <c r="C13" s="541" t="n">
        <f aca="false">'Events · Drivers'!D13</f>
        <v>250</v>
      </c>
      <c r="D13" s="108" t="s">
        <v>4810</v>
      </c>
      <c r="E13" s="1256" t="s">
        <v>4796</v>
      </c>
      <c r="F13" s="1259" t="s">
        <v>4803</v>
      </c>
      <c r="G13" s="1258" t="s">
        <v>4811</v>
      </c>
    </row>
    <row r="14" customFormat="false" ht="21.75" hidden="false" customHeight="true" outlineLevel="0" collapsed="false">
      <c r="A14" s="314"/>
      <c r="B14" s="575" t="s">
        <v>4812</v>
      </c>
      <c r="C14" s="575"/>
      <c r="D14" s="575"/>
      <c r="E14" s="575"/>
      <c r="F14" s="575"/>
      <c r="G14" s="575"/>
      <c r="H14" s="575"/>
      <c r="I14" s="575"/>
    </row>
    <row r="15" customFormat="false" ht="27.75" hidden="false" customHeight="true" outlineLevel="0" collapsed="false">
      <c r="B15" s="113" t="s">
        <v>4813</v>
      </c>
      <c r="C15" s="547" t="n">
        <f aca="false">'Events · Drivers'!D10</f>
        <v>9500</v>
      </c>
      <c r="D15" s="108" t="s">
        <v>4814</v>
      </c>
      <c r="E15" s="1256" t="s">
        <v>4796</v>
      </c>
      <c r="F15" s="1257" t="s">
        <v>1600</v>
      </c>
      <c r="G15" s="1258" t="s">
        <v>4815</v>
      </c>
    </row>
    <row r="16" customFormat="false" ht="27.75" hidden="false" customHeight="true" outlineLevel="0" collapsed="false">
      <c r="B16" s="113" t="s">
        <v>4816</v>
      </c>
      <c r="C16" s="547" t="n">
        <f aca="false">'Events · Drivers'!D11</f>
        <v>6300</v>
      </c>
      <c r="D16" s="108" t="s">
        <v>4817</v>
      </c>
      <c r="E16" s="1256" t="s">
        <v>4796</v>
      </c>
      <c r="F16" s="1257" t="s">
        <v>1600</v>
      </c>
      <c r="G16" s="1258" t="s">
        <v>4818</v>
      </c>
    </row>
    <row r="17" customFormat="false" ht="27.75" hidden="false" customHeight="true" outlineLevel="0" collapsed="false">
      <c r="B17" s="113" t="s">
        <v>4819</v>
      </c>
      <c r="C17" s="547" t="n">
        <f aca="false">'Events · Drivers'!D12</f>
        <v>5000</v>
      </c>
      <c r="D17" s="108" t="s">
        <v>4820</v>
      </c>
      <c r="E17" s="1261" t="s">
        <v>4821</v>
      </c>
      <c r="F17" s="1259" t="s">
        <v>4803</v>
      </c>
      <c r="G17" s="1258" t="s">
        <v>4822</v>
      </c>
    </row>
    <row r="18" customFormat="false" ht="27.75" hidden="false" customHeight="true" outlineLevel="0" collapsed="false">
      <c r="B18" s="113" t="s">
        <v>4823</v>
      </c>
      <c r="C18" s="547" t="n">
        <f aca="false">'Events · Drivers'!D15</f>
        <v>700</v>
      </c>
      <c r="D18" s="108" t="s">
        <v>4824</v>
      </c>
      <c r="E18" s="1261" t="s">
        <v>4821</v>
      </c>
      <c r="F18" s="1216" t="s">
        <v>2765</v>
      </c>
      <c r="G18" s="1258" t="s">
        <v>4825</v>
      </c>
    </row>
    <row r="19" customFormat="false" ht="21.75" hidden="false" customHeight="true" outlineLevel="0" collapsed="false">
      <c r="B19" s="575" t="s">
        <v>4826</v>
      </c>
      <c r="C19" s="575"/>
      <c r="D19" s="575"/>
      <c r="E19" s="575"/>
      <c r="F19" s="575"/>
      <c r="G19" s="575"/>
      <c r="H19" s="575"/>
      <c r="I19" s="575"/>
    </row>
    <row r="20" customFormat="false" ht="27.75" hidden="false" customHeight="true" outlineLevel="0" collapsed="false">
      <c r="B20" s="113" t="s">
        <v>4827</v>
      </c>
      <c r="C20" s="541" t="n">
        <f aca="false">'Events · Drivers'!D75</f>
        <v>8</v>
      </c>
      <c r="D20" s="108" t="s">
        <v>4828</v>
      </c>
      <c r="E20" s="1256" t="s">
        <v>4796</v>
      </c>
      <c r="F20" s="1259" t="s">
        <v>4803</v>
      </c>
      <c r="G20" s="1258" t="s">
        <v>4829</v>
      </c>
    </row>
    <row r="21" customFormat="false" ht="27.75" hidden="false" customHeight="true" outlineLevel="0" collapsed="false">
      <c r="B21" s="113" t="s">
        <v>4830</v>
      </c>
      <c r="C21" s="541" t="n">
        <f aca="false">'Events · Drivers'!C76</f>
        <v>34.4</v>
      </c>
      <c r="D21" s="108" t="s">
        <v>4831</v>
      </c>
      <c r="E21" s="1260" t="s">
        <v>4807</v>
      </c>
      <c r="F21" s="1259" t="s">
        <v>4803</v>
      </c>
      <c r="G21" s="1258" t="s">
        <v>4832</v>
      </c>
    </row>
    <row r="22" customFormat="false" ht="27.75" hidden="false" customHeight="true" outlineLevel="0" collapsed="false">
      <c r="B22" s="113" t="s">
        <v>4833</v>
      </c>
      <c r="C22" s="1218" t="n">
        <f aca="false">'Events · Drivers'!C79</f>
        <v>0.319767441860465</v>
      </c>
      <c r="D22" s="108" t="s">
        <v>4806</v>
      </c>
      <c r="E22" s="1260" t="s">
        <v>4807</v>
      </c>
      <c r="F22" s="1259" t="s">
        <v>4803</v>
      </c>
      <c r="G22" s="1258" t="s">
        <v>4834</v>
      </c>
    </row>
    <row r="23" customFormat="false" ht="21.75" hidden="false" customHeight="true" outlineLevel="0" collapsed="false">
      <c r="B23" s="575" t="s">
        <v>4835</v>
      </c>
      <c r="C23" s="575"/>
      <c r="D23" s="575"/>
      <c r="E23" s="575"/>
      <c r="F23" s="575"/>
      <c r="G23" s="575"/>
      <c r="H23" s="575"/>
      <c r="I23" s="575"/>
    </row>
    <row r="24" customFormat="false" ht="27.75" hidden="false" customHeight="true" outlineLevel="0" collapsed="false">
      <c r="B24" s="113" t="s">
        <v>4836</v>
      </c>
      <c r="C24" s="547" t="n">
        <f aca="false">'Events · Drivers'!C47</f>
        <v>30000</v>
      </c>
      <c r="D24" s="108" t="s">
        <v>4837</v>
      </c>
      <c r="E24" s="1260" t="s">
        <v>4807</v>
      </c>
      <c r="F24" s="1216" t="s">
        <v>2765</v>
      </c>
      <c r="G24" s="1258" t="s">
        <v>4838</v>
      </c>
    </row>
    <row r="25" customFormat="false" ht="27.75" hidden="false" customHeight="true" outlineLevel="0" collapsed="false">
      <c r="B25" s="113" t="s">
        <v>4839</v>
      </c>
      <c r="C25" s="547" t="n">
        <f aca="false">'Events · Drivers'!C48</f>
        <v>18000</v>
      </c>
      <c r="D25" s="108" t="s">
        <v>4840</v>
      </c>
      <c r="E25" s="1260" t="s">
        <v>4807</v>
      </c>
      <c r="F25" s="1216" t="s">
        <v>2765</v>
      </c>
      <c r="G25" s="1258" t="s">
        <v>4841</v>
      </c>
    </row>
    <row r="26" customFormat="false" ht="27.75" hidden="false" customHeight="true" outlineLevel="0" collapsed="false">
      <c r="B26" s="113" t="s">
        <v>4842</v>
      </c>
      <c r="C26" s="547" t="n">
        <f aca="false">'Events · Drivers'!C63</f>
        <v>28000</v>
      </c>
      <c r="D26" s="108" t="s">
        <v>4843</v>
      </c>
      <c r="E26" s="1260" t="s">
        <v>4807</v>
      </c>
      <c r="F26" s="1259" t="s">
        <v>4803</v>
      </c>
      <c r="G26" s="1258" t="s">
        <v>4844</v>
      </c>
    </row>
    <row r="27" customFormat="false" ht="27.75" hidden="false" customHeight="true" outlineLevel="0" collapsed="false">
      <c r="B27" s="113" t="s">
        <v>4845</v>
      </c>
      <c r="C27" s="547" t="n">
        <f aca="false">'Events · Drivers'!C64</f>
        <v>12000</v>
      </c>
      <c r="D27" s="108" t="s">
        <v>4846</v>
      </c>
      <c r="E27" s="1260" t="s">
        <v>4807</v>
      </c>
      <c r="F27" s="1216" t="s">
        <v>2765</v>
      </c>
      <c r="G27" s="1258" t="s">
        <v>4847</v>
      </c>
    </row>
    <row r="28" customFormat="false" ht="27.75" hidden="false" customHeight="true" outlineLevel="0" collapsed="false">
      <c r="B28" s="113" t="s">
        <v>4848</v>
      </c>
      <c r="C28" s="547" t="n">
        <f aca="false">'Events · Drivers'!C65</f>
        <v>8000</v>
      </c>
      <c r="D28" s="108" t="s">
        <v>4849</v>
      </c>
      <c r="E28" s="1256" t="s">
        <v>4796</v>
      </c>
      <c r="F28" s="1259" t="s">
        <v>4803</v>
      </c>
      <c r="G28" s="1258" t="s">
        <v>4850</v>
      </c>
    </row>
    <row r="29" customFormat="false" ht="27.75" hidden="false" customHeight="true" outlineLevel="0" collapsed="false">
      <c r="B29" s="113" t="s">
        <v>4851</v>
      </c>
      <c r="C29" s="547" t="n">
        <f aca="false">'Events · Drivers'!C66</f>
        <v>4000</v>
      </c>
      <c r="D29" s="108" t="s">
        <v>4852</v>
      </c>
      <c r="E29" s="1260" t="s">
        <v>4807</v>
      </c>
      <c r="F29" s="1216" t="s">
        <v>2765</v>
      </c>
      <c r="G29" s="1258" t="s">
        <v>4853</v>
      </c>
    </row>
    <row r="30" customFormat="false" ht="27.75" hidden="false" customHeight="true" outlineLevel="0" collapsed="false">
      <c r="B30" s="113" t="s">
        <v>4854</v>
      </c>
      <c r="C30" s="547" t="n">
        <f aca="false">'Events · Drivers'!C49</f>
        <v>0</v>
      </c>
      <c r="D30" s="108" t="s">
        <v>4855</v>
      </c>
      <c r="E30" s="1256" t="s">
        <v>4796</v>
      </c>
      <c r="F30" s="1216" t="s">
        <v>2765</v>
      </c>
      <c r="G30" s="1258" t="s">
        <v>4856</v>
      </c>
    </row>
    <row r="31" customFormat="false" ht="27.75" hidden="false" customHeight="true" outlineLevel="0" collapsed="false">
      <c r="B31" s="113" t="s">
        <v>4857</v>
      </c>
      <c r="C31" s="547" t="n">
        <f aca="false">'Events · Drivers'!C50</f>
        <v>15000</v>
      </c>
      <c r="D31" s="108" t="s">
        <v>4858</v>
      </c>
      <c r="E31" s="1256" t="s">
        <v>4796</v>
      </c>
      <c r="F31" s="1216" t="s">
        <v>2765</v>
      </c>
      <c r="G31" s="1258" t="s">
        <v>4859</v>
      </c>
    </row>
    <row r="32" customFormat="false" ht="27.75" hidden="false" customHeight="true" outlineLevel="0" collapsed="false">
      <c r="B32" s="113" t="s">
        <v>4860</v>
      </c>
      <c r="C32" s="547" t="n">
        <f aca="false">'Events · Drivers'!C51</f>
        <v>0</v>
      </c>
      <c r="D32" s="108" t="s">
        <v>4861</v>
      </c>
      <c r="E32" s="1256" t="s">
        <v>4796</v>
      </c>
      <c r="F32" s="1259" t="s">
        <v>4803</v>
      </c>
      <c r="G32" s="1258" t="s">
        <v>4862</v>
      </c>
    </row>
    <row r="33" customFormat="false" ht="21.75" hidden="false" customHeight="true" outlineLevel="0" collapsed="false">
      <c r="B33" s="575" t="s">
        <v>4863</v>
      </c>
      <c r="C33" s="575"/>
      <c r="D33" s="575"/>
      <c r="E33" s="575"/>
      <c r="F33" s="575"/>
      <c r="G33" s="575"/>
      <c r="H33" s="575"/>
      <c r="I33" s="575"/>
    </row>
    <row r="34" customFormat="false" ht="27.75" hidden="false" customHeight="true" outlineLevel="0" collapsed="false">
      <c r="B34" s="113" t="s">
        <v>4864</v>
      </c>
      <c r="C34" s="547" t="n">
        <f aca="false">'Events · Drivers'!C54</f>
        <v>200</v>
      </c>
      <c r="D34" s="108" t="s">
        <v>4865</v>
      </c>
      <c r="E34" s="1260" t="s">
        <v>4807</v>
      </c>
      <c r="F34" s="1259" t="s">
        <v>4803</v>
      </c>
      <c r="G34" s="1258" t="s">
        <v>4866</v>
      </c>
    </row>
    <row r="35" customFormat="false" ht="27.75" hidden="false" customHeight="true" outlineLevel="0" collapsed="false">
      <c r="B35" s="113" t="s">
        <v>4867</v>
      </c>
      <c r="C35" s="547" t="n">
        <f aca="false">'Events · Drivers'!C55</f>
        <v>120</v>
      </c>
      <c r="D35" s="108" t="s">
        <v>4868</v>
      </c>
      <c r="E35" s="1260" t="s">
        <v>4807</v>
      </c>
      <c r="F35" s="1216" t="s">
        <v>2765</v>
      </c>
      <c r="G35" s="1258" t="s">
        <v>4869</v>
      </c>
    </row>
    <row r="36" customFormat="false" ht="27.75" hidden="false" customHeight="true" outlineLevel="0" collapsed="false">
      <c r="B36" s="113" t="s">
        <v>4870</v>
      </c>
      <c r="C36" s="547" t="n">
        <f aca="false">'Events · Drivers'!C56</f>
        <v>120</v>
      </c>
      <c r="D36" s="108" t="s">
        <v>4871</v>
      </c>
      <c r="E36" s="1260" t="s">
        <v>4807</v>
      </c>
      <c r="F36" s="1216" t="s">
        <v>2765</v>
      </c>
      <c r="G36" s="1258" t="s">
        <v>4872</v>
      </c>
    </row>
    <row r="37" customFormat="false" ht="27.75" hidden="false" customHeight="true" outlineLevel="0" collapsed="false">
      <c r="B37" s="113" t="s">
        <v>4873</v>
      </c>
      <c r="C37" s="547" t="n">
        <f aca="false">'Events · Drivers'!C57</f>
        <v>150</v>
      </c>
      <c r="D37" s="108" t="s">
        <v>4874</v>
      </c>
      <c r="E37" s="1256" t="s">
        <v>4796</v>
      </c>
      <c r="F37" s="1216" t="s">
        <v>2765</v>
      </c>
      <c r="G37" s="1258" t="s">
        <v>4875</v>
      </c>
    </row>
    <row r="38" customFormat="false" ht="27.75" hidden="false" customHeight="true" outlineLevel="0" collapsed="false">
      <c r="B38" s="113" t="s">
        <v>4876</v>
      </c>
      <c r="C38" s="547" t="n">
        <f aca="false">'Events · Drivers'!C60</f>
        <v>100</v>
      </c>
      <c r="D38" s="108" t="s">
        <v>4877</v>
      </c>
      <c r="E38" s="1256" t="s">
        <v>4796</v>
      </c>
      <c r="F38" s="1216" t="s">
        <v>2765</v>
      </c>
      <c r="G38" s="1258" t="s">
        <v>4878</v>
      </c>
    </row>
    <row r="39" customFormat="false" ht="27.75" hidden="false" customHeight="true" outlineLevel="0" collapsed="false">
      <c r="B39" s="113" t="s">
        <v>4879</v>
      </c>
      <c r="C39" s="547" t="n">
        <f aca="false">'Events · Drivers'!C70</f>
        <v>600</v>
      </c>
      <c r="D39" s="108" t="s">
        <v>4880</v>
      </c>
      <c r="E39" s="1256" t="s">
        <v>4796</v>
      </c>
      <c r="F39" s="1259" t="s">
        <v>4803</v>
      </c>
      <c r="G39" s="1258" t="s">
        <v>4881</v>
      </c>
    </row>
    <row r="40" customFormat="false" ht="27.75" hidden="false" customHeight="true" outlineLevel="0" collapsed="false">
      <c r="B40" s="113" t="s">
        <v>4882</v>
      </c>
      <c r="C40" s="547" t="n">
        <f aca="false">'Events · Drivers'!C71</f>
        <v>550</v>
      </c>
      <c r="D40" s="108" t="s">
        <v>4883</v>
      </c>
      <c r="E40" s="1256" t="s">
        <v>4796</v>
      </c>
      <c r="F40" s="1259" t="s">
        <v>4803</v>
      </c>
      <c r="G40" s="1258" t="s">
        <v>4884</v>
      </c>
    </row>
    <row r="41" customFormat="false" ht="27.75" hidden="false" customHeight="true" outlineLevel="0" collapsed="false">
      <c r="B41" s="113" t="s">
        <v>4885</v>
      </c>
      <c r="C41" s="547" t="n">
        <f aca="false">'Events · Drivers'!C72</f>
        <v>700</v>
      </c>
      <c r="D41" s="108" t="s">
        <v>4886</v>
      </c>
      <c r="E41" s="1256" t="s">
        <v>4796</v>
      </c>
      <c r="F41" s="1259" t="s">
        <v>4803</v>
      </c>
      <c r="G41" s="1258" t="s">
        <v>4887</v>
      </c>
    </row>
    <row r="42" customFormat="false" ht="21.75" hidden="false" customHeight="true" outlineLevel="0" collapsed="false">
      <c r="B42" s="575" t="s">
        <v>4888</v>
      </c>
      <c r="C42" s="575"/>
      <c r="D42" s="575"/>
      <c r="E42" s="575"/>
      <c r="F42" s="575"/>
      <c r="G42" s="575"/>
      <c r="H42" s="575"/>
      <c r="I42" s="575"/>
    </row>
    <row r="43" customFormat="false" ht="27.75" hidden="false" customHeight="true" outlineLevel="0" collapsed="false">
      <c r="B43" s="113" t="s">
        <v>4889</v>
      </c>
      <c r="C43" s="541" t="n">
        <f aca="false">'Events · Drivers'!D14</f>
        <v>10.5</v>
      </c>
      <c r="D43" s="108" t="s">
        <v>4890</v>
      </c>
      <c r="E43" s="1256" t="s">
        <v>4796</v>
      </c>
      <c r="F43" s="1216" t="s">
        <v>2765</v>
      </c>
      <c r="G43" s="1258" t="s">
        <v>4891</v>
      </c>
    </row>
    <row r="44" customFormat="false" ht="27.75" hidden="false" customHeight="true" outlineLevel="0" collapsed="false">
      <c r="B44" s="113" t="s">
        <v>4892</v>
      </c>
      <c r="C44" s="547" t="n">
        <f aca="false">'Events · Revenue'!E22</f>
        <v>346500</v>
      </c>
      <c r="D44" s="108" t="s">
        <v>4893</v>
      </c>
      <c r="E44" s="1256" t="s">
        <v>4796</v>
      </c>
      <c r="F44" s="1216" t="s">
        <v>2765</v>
      </c>
      <c r="G44" s="1258" t="s">
        <v>4894</v>
      </c>
    </row>
    <row r="45" customFormat="false" ht="27.75" hidden="false" customHeight="true" outlineLevel="0" collapsed="false">
      <c r="B45" s="113" t="s">
        <v>4895</v>
      </c>
      <c r="C45" s="547" t="n">
        <f aca="false">'Events · Revenue'!E23</f>
        <v>33000</v>
      </c>
      <c r="D45" s="108" t="s">
        <v>4893</v>
      </c>
      <c r="E45" s="1256" t="s">
        <v>4796</v>
      </c>
      <c r="F45" s="1216" t="s">
        <v>2765</v>
      </c>
      <c r="G45" s="1258" t="s">
        <v>4896</v>
      </c>
    </row>
    <row r="46" customFormat="false" ht="15" hidden="false" customHeight="true" outlineLevel="0" collapsed="false">
      <c r="B46" s="6"/>
      <c r="D46" s="6"/>
    </row>
    <row r="47" customFormat="false" ht="21.75" hidden="false" customHeight="true" outlineLevel="0" collapsed="false">
      <c r="B47" s="43" t="s">
        <v>4897</v>
      </c>
      <c r="C47" s="43"/>
      <c r="D47" s="43"/>
      <c r="E47" s="43"/>
      <c r="F47" s="43"/>
      <c r="G47" s="43"/>
      <c r="H47" s="43"/>
      <c r="I47" s="43"/>
    </row>
    <row r="48" customFormat="false" ht="120" hidden="false" customHeight="true" outlineLevel="0" collapsed="false">
      <c r="B48" s="134" t="s">
        <v>4898</v>
      </c>
      <c r="C48" s="134"/>
      <c r="D48" s="134"/>
      <c r="E48" s="134"/>
      <c r="F48" s="134"/>
      <c r="G48" s="134"/>
      <c r="H48" s="134"/>
      <c r="I48" s="134"/>
    </row>
    <row r="50" customFormat="false" ht="15" hidden="false" customHeight="true" outlineLevel="0" collapsed="false">
      <c r="B50" s="0" t="s">
        <v>4899</v>
      </c>
      <c r="C50" s="0" t="n">
        <v>0.5</v>
      </c>
    </row>
    <row r="51" customFormat="false" ht="15" hidden="false" customHeight="true" outlineLevel="0" collapsed="false">
      <c r="B51" s="0" t="s">
        <v>4900</v>
      </c>
      <c r="C51" s="0" t="n">
        <v>0.3</v>
      </c>
    </row>
    <row r="53" customFormat="false" ht="15" hidden="false" customHeight="true" outlineLevel="0" collapsed="false">
      <c r="B53" s="0" t="s">
        <v>4901</v>
      </c>
      <c r="C53" s="0" t="n">
        <v>0.5</v>
      </c>
    </row>
    <row r="54" customFormat="false" ht="15" hidden="false" customHeight="true" outlineLevel="0" collapsed="false">
      <c r="B54" s="0" t="s">
        <v>4902</v>
      </c>
      <c r="C54" s="0" t="n">
        <v>0.5</v>
      </c>
    </row>
  </sheetData>
  <mergeCells count="12">
    <mergeCell ref="B2:F2"/>
    <mergeCell ref="G2:I2"/>
    <mergeCell ref="B3:I3"/>
    <mergeCell ref="B5:I5"/>
    <mergeCell ref="B8:I8"/>
    <mergeCell ref="B14:I14"/>
    <mergeCell ref="B19:I19"/>
    <mergeCell ref="B23:I23"/>
    <mergeCell ref="B33:I33"/>
    <mergeCell ref="B42:I42"/>
    <mergeCell ref="B47:I47"/>
    <mergeCell ref="B48:I4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J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4903</v>
      </c>
      <c r="C2" s="917"/>
      <c r="D2" s="917"/>
      <c r="E2" s="917"/>
      <c r="F2" s="917"/>
      <c r="G2" s="89" t="s">
        <v>3432</v>
      </c>
      <c r="H2" s="89"/>
      <c r="I2" s="89"/>
      <c r="J2" s="89"/>
    </row>
    <row r="3" customFormat="false" ht="48.75" hidden="false" customHeight="true" outlineLevel="0" collapsed="false">
      <c r="B3" s="90" t="s">
        <v>4904</v>
      </c>
      <c r="C3" s="90"/>
      <c r="D3" s="90"/>
      <c r="E3" s="90"/>
      <c r="F3" s="90"/>
      <c r="G3" s="90"/>
      <c r="H3" s="90"/>
      <c r="I3" s="90"/>
      <c r="J3" s="90"/>
    </row>
    <row r="4" customFormat="false" ht="15" hidden="false" customHeight="true" outlineLevel="0" collapsed="false">
      <c r="B4" s="6"/>
      <c r="I4" s="6"/>
    </row>
    <row r="5" customFormat="false" ht="33.75" hidden="false" customHeight="true" outlineLevel="0" collapsed="false">
      <c r="B5" s="96" t="s">
        <v>4905</v>
      </c>
      <c r="C5" s="96"/>
      <c r="D5" s="96"/>
      <c r="E5" s="96"/>
      <c r="F5" s="96"/>
      <c r="G5" s="96"/>
      <c r="H5" s="96"/>
      <c r="I5" s="6"/>
    </row>
    <row r="6" customFormat="false" ht="19.5" hidden="false" customHeight="true" outlineLevel="0" collapsed="false">
      <c r="B6" s="97" t="s">
        <v>3445</v>
      </c>
      <c r="C6" s="98" t="s">
        <v>4906</v>
      </c>
      <c r="D6" s="98" t="s">
        <v>4907</v>
      </c>
      <c r="E6" s="98" t="s">
        <v>4770</v>
      </c>
      <c r="G6" s="551" t="s">
        <v>3508</v>
      </c>
      <c r="I6" s="6"/>
    </row>
    <row r="7" customFormat="false" ht="18" hidden="false" customHeight="true" outlineLevel="0" collapsed="false">
      <c r="B7" s="113" t="s">
        <v>4500</v>
      </c>
      <c r="C7" s="1262" t="n">
        <f aca="false">'Events · Drivers'!C18</f>
        <v>6</v>
      </c>
      <c r="D7" s="1263" t="n">
        <f aca="false">'Events · Drivers'!C21</f>
        <v>9500</v>
      </c>
      <c r="E7" s="544" t="n">
        <f aca="false">C7*D7*12</f>
        <v>684000</v>
      </c>
      <c r="G7" s="565" t="s">
        <v>4908</v>
      </c>
      <c r="I7" s="6"/>
    </row>
    <row r="8" customFormat="false" ht="18" hidden="false" customHeight="true" outlineLevel="0" collapsed="false">
      <c r="B8" s="126" t="s">
        <v>4909</v>
      </c>
      <c r="C8" s="1262" t="n">
        <f aca="false">'Events · Drivers'!C19</f>
        <v>4</v>
      </c>
      <c r="D8" s="1263" t="n">
        <f aca="false">'Events · Drivers'!C22</f>
        <v>6300</v>
      </c>
      <c r="E8" s="544" t="n">
        <f aca="false">C8*D8*12</f>
        <v>302400</v>
      </c>
      <c r="G8" s="565" t="s">
        <v>4910</v>
      </c>
      <c r="I8" s="6"/>
    </row>
    <row r="9" customFormat="false" ht="18" hidden="false" customHeight="true" outlineLevel="0" collapsed="false">
      <c r="B9" s="113" t="s">
        <v>4502</v>
      </c>
      <c r="C9" s="1262" t="n">
        <f aca="false">'Events · Drivers'!C20</f>
        <v>1</v>
      </c>
      <c r="D9" s="1263" t="n">
        <f aca="false">'Events · Drivers'!C23</f>
        <v>5000</v>
      </c>
      <c r="E9" s="544" t="n">
        <f aca="false">C9*D9*12</f>
        <v>60000</v>
      </c>
      <c r="G9" s="565" t="s">
        <v>4911</v>
      </c>
      <c r="I9" s="6"/>
    </row>
    <row r="10" customFormat="false" ht="15" hidden="false" customHeight="true" outlineLevel="0" collapsed="false">
      <c r="B10" s="126" t="s">
        <v>4912</v>
      </c>
      <c r="C10" s="1262"/>
      <c r="D10" s="1263"/>
      <c r="E10" s="544" t="n">
        <f aca="false">'Events · Drivers'!C40*'Events · Assumptions'!$C$51</f>
        <v>103950</v>
      </c>
      <c r="G10" s="565" t="s">
        <v>4913</v>
      </c>
      <c r="I10" s="6"/>
    </row>
    <row r="11" customFormat="false" ht="21.75" hidden="false" customHeight="true" outlineLevel="0" collapsed="false">
      <c r="B11" s="81" t="s">
        <v>4914</v>
      </c>
      <c r="E11" s="1264" t="n">
        <f aca="false">SUM(E7:E10)</f>
        <v>1150350</v>
      </c>
      <c r="I11" s="6"/>
    </row>
    <row r="12" customFormat="false" ht="15" hidden="false" customHeight="true" outlineLevel="0" collapsed="false">
      <c r="B12" s="6"/>
      <c r="I12" s="6"/>
    </row>
    <row r="13" customFormat="false" ht="33.75" hidden="false" customHeight="true" outlineLevel="0" collapsed="false">
      <c r="B13" s="125" t="s">
        <v>4915</v>
      </c>
      <c r="C13" s="125"/>
      <c r="D13" s="125"/>
      <c r="E13" s="125"/>
      <c r="F13" s="125"/>
      <c r="G13" s="125"/>
      <c r="H13" s="125"/>
      <c r="I13" s="6"/>
    </row>
    <row r="14" customFormat="false" ht="15" hidden="false" customHeight="true" outlineLevel="0" collapsed="false">
      <c r="B14" s="113" t="s">
        <v>4916</v>
      </c>
      <c r="C14" s="1262" t="n">
        <f aca="false">'Events · Drivers'!C34</f>
        <v>19</v>
      </c>
      <c r="D14" s="1263" t="n">
        <f aca="false">'Events · Drivers'!C26</f>
        <v>700</v>
      </c>
      <c r="E14" s="590" t="n">
        <f aca="false">C14*D14*12*0.35</f>
        <v>55860</v>
      </c>
      <c r="G14" s="565" t="s">
        <v>4917</v>
      </c>
      <c r="I14" s="6"/>
    </row>
    <row r="15" customFormat="false" ht="48.75" hidden="false" customHeight="true" outlineLevel="0" collapsed="false">
      <c r="B15" s="1265" t="s">
        <v>4918</v>
      </c>
      <c r="I15" s="6"/>
    </row>
    <row r="16" customFormat="false" ht="15" hidden="false" customHeight="true" outlineLevel="0" collapsed="false">
      <c r="B16" s="6"/>
      <c r="I16" s="6"/>
    </row>
    <row r="17" customFormat="false" ht="33.75" hidden="false" customHeight="true" outlineLevel="0" collapsed="false">
      <c r="B17" s="51" t="s">
        <v>4919</v>
      </c>
      <c r="C17" s="51"/>
      <c r="D17" s="51"/>
      <c r="E17" s="51"/>
      <c r="F17" s="51"/>
      <c r="G17" s="51"/>
      <c r="H17" s="51"/>
      <c r="I17" s="6"/>
    </row>
    <row r="18" customFormat="false" ht="27.75" hidden="false" customHeight="true" outlineLevel="0" collapsed="false">
      <c r="B18" s="1266" t="s">
        <v>4920</v>
      </c>
      <c r="E18" s="578" t="n">
        <f aca="false">E11+E14</f>
        <v>1206210</v>
      </c>
      <c r="I18" s="6"/>
    </row>
    <row r="19" customFormat="false" ht="15" hidden="false" customHeight="true" outlineLevel="0" collapsed="false">
      <c r="B19" s="6"/>
      <c r="I19" s="6"/>
    </row>
    <row r="20" customFormat="false" ht="15" hidden="false" customHeight="true" outlineLevel="0" collapsed="false">
      <c r="B20" s="6"/>
      <c r="I20" s="6"/>
    </row>
    <row r="21" customFormat="false" ht="33.75" hidden="false" customHeight="true" outlineLevel="0" collapsed="false">
      <c r="B21" s="555" t="s">
        <v>4921</v>
      </c>
      <c r="C21" s="555"/>
      <c r="D21" s="555"/>
      <c r="E21" s="555"/>
      <c r="F21" s="555"/>
      <c r="G21" s="555"/>
      <c r="H21" s="555"/>
      <c r="I21" s="6"/>
    </row>
    <row r="22" customFormat="false" ht="15" hidden="false" customHeight="true" outlineLevel="0" collapsed="false">
      <c r="B22" s="1267" t="s">
        <v>4922</v>
      </c>
      <c r="E22" s="1268" t="n">
        <f aca="false">'Events · Drivers'!C40</f>
        <v>346500</v>
      </c>
      <c r="G22" s="1269" t="s">
        <v>4923</v>
      </c>
      <c r="I22" s="6"/>
    </row>
    <row r="23" customFormat="false" ht="15" hidden="false" customHeight="true" outlineLevel="0" collapsed="false">
      <c r="B23" s="592" t="s">
        <v>4924</v>
      </c>
      <c r="E23" s="1183" t="n">
        <f aca="false">'Events · Drivers'!C41</f>
        <v>33000</v>
      </c>
      <c r="G23" s="565" t="s">
        <v>4925</v>
      </c>
      <c r="I23" s="6"/>
    </row>
  </sheetData>
  <mergeCells count="7">
    <mergeCell ref="B2:F2"/>
    <mergeCell ref="G2:J2"/>
    <mergeCell ref="B3:J3"/>
    <mergeCell ref="B5:H5"/>
    <mergeCell ref="B13:H13"/>
    <mergeCell ref="B17:H17"/>
    <mergeCell ref="B21:H21"/>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J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4926</v>
      </c>
      <c r="C2" s="878"/>
      <c r="D2" s="878"/>
      <c r="E2" s="878"/>
      <c r="F2" s="878"/>
      <c r="G2" s="1023" t="s">
        <v>3432</v>
      </c>
      <c r="H2" s="1023"/>
      <c r="I2" s="1023"/>
      <c r="J2" s="1023"/>
    </row>
    <row r="3" customFormat="false" ht="48.75" hidden="false" customHeight="true" outlineLevel="0" collapsed="false">
      <c r="B3" s="90" t="s">
        <v>4927</v>
      </c>
      <c r="C3" s="90"/>
      <c r="D3" s="90"/>
      <c r="E3" s="90"/>
      <c r="F3" s="90"/>
      <c r="G3" s="90"/>
      <c r="H3" s="90"/>
      <c r="I3" s="90"/>
      <c r="J3" s="90"/>
    </row>
    <row r="4" customFormat="false" ht="15" hidden="false" customHeight="true" outlineLevel="0" collapsed="false">
      <c r="B4" s="6"/>
      <c r="G4" s="6"/>
    </row>
    <row r="5" customFormat="false" ht="21.75" hidden="false" customHeight="true" outlineLevel="0" collapsed="false">
      <c r="B5" s="96" t="s">
        <v>4928</v>
      </c>
      <c r="C5" s="96"/>
      <c r="D5" s="96"/>
      <c r="E5" s="96"/>
      <c r="F5" s="96"/>
      <c r="G5" s="96"/>
      <c r="H5" s="96"/>
    </row>
    <row r="6" customFormat="false" ht="19.5" hidden="false" customHeight="true" outlineLevel="0" collapsed="false">
      <c r="B6" s="99" t="s">
        <v>4929</v>
      </c>
      <c r="C6" s="98" t="s">
        <v>2771</v>
      </c>
      <c r="D6" s="98" t="s">
        <v>4930</v>
      </c>
      <c r="E6" s="98" t="s">
        <v>4931</v>
      </c>
      <c r="F6" s="98" t="s">
        <v>4016</v>
      </c>
      <c r="G6" s="99" t="s">
        <v>4932</v>
      </c>
      <c r="H6" s="98" t="s">
        <v>778</v>
      </c>
    </row>
    <row r="7" customFormat="false" ht="16.5" hidden="false" customHeight="true" outlineLevel="0" collapsed="false">
      <c r="B7" s="999" t="s">
        <v>4933</v>
      </c>
      <c r="C7" s="1270" t="n">
        <f aca="false">'Events · Drivers'!C47</f>
        <v>30000</v>
      </c>
      <c r="D7" s="593" t="n">
        <f aca="false">C7/'Events · Revenue'!E18</f>
        <v>0.0248712910687194</v>
      </c>
      <c r="E7" s="1271" t="n">
        <f aca="false">C7/IF('Events · Drivers'!C32*12=0,1,'Events · Drivers'!C32*12)</f>
        <v>227.272727272727</v>
      </c>
      <c r="F7" s="455" t="s">
        <v>3663</v>
      </c>
      <c r="G7" s="1272" t="n">
        <v>0</v>
      </c>
      <c r="H7" s="565" t="s">
        <v>4934</v>
      </c>
    </row>
    <row r="8" customFormat="false" ht="16.5" hidden="false" customHeight="true" outlineLevel="0" collapsed="false">
      <c r="B8" s="999" t="s">
        <v>4935</v>
      </c>
      <c r="C8" s="1270" t="n">
        <f aca="false">'Events · Drivers'!C48</f>
        <v>18000</v>
      </c>
      <c r="D8" s="593" t="n">
        <f aca="false">C8/'Events · Revenue'!E18</f>
        <v>0.0149227746412316</v>
      </c>
      <c r="E8" s="1271" t="n">
        <f aca="false">C8/IF('Events · Drivers'!C32*12=0,1,'Events · Drivers'!C32*12)</f>
        <v>136.363636363636</v>
      </c>
      <c r="F8" s="455" t="s">
        <v>3663</v>
      </c>
      <c r="G8" s="1272" t="n">
        <v>0</v>
      </c>
      <c r="H8" s="565" t="s">
        <v>4934</v>
      </c>
    </row>
    <row r="9" customFormat="false" ht="16.5" hidden="false" customHeight="true" outlineLevel="0" collapsed="false">
      <c r="B9" s="999" t="s">
        <v>4842</v>
      </c>
      <c r="C9" s="1270" t="n">
        <f aca="false">'Events · Drivers'!C63</f>
        <v>28000</v>
      </c>
      <c r="D9" s="593" t="n">
        <f aca="false">C9/'Events · Revenue'!E18</f>
        <v>0.0232132049974714</v>
      </c>
      <c r="E9" s="1271" t="n">
        <f aca="false">C9/IF('Events · Drivers'!C32*12=0,1,'Events · Drivers'!C32*12)</f>
        <v>212.121212121212</v>
      </c>
      <c r="F9" s="455" t="s">
        <v>3663</v>
      </c>
      <c r="G9" s="1272" t="n">
        <v>0</v>
      </c>
      <c r="H9" s="565" t="s">
        <v>4936</v>
      </c>
    </row>
    <row r="10" customFormat="false" ht="16.5" hidden="false" customHeight="true" outlineLevel="0" collapsed="false">
      <c r="B10" s="999" t="s">
        <v>4845</v>
      </c>
      <c r="C10" s="1270" t="n">
        <f aca="false">'Events · Drivers'!C64</f>
        <v>12000</v>
      </c>
      <c r="D10" s="593" t="n">
        <f aca="false">C10/'Events · Revenue'!E18</f>
        <v>0.00994851642748775</v>
      </c>
      <c r="E10" s="1271" t="n">
        <f aca="false">C10/IF('Events · Drivers'!C32*12=0,1,'Events · Drivers'!C32*12)</f>
        <v>90.9090909090909</v>
      </c>
      <c r="F10" s="455" t="s">
        <v>3663</v>
      </c>
      <c r="G10" s="1272" t="n">
        <v>0</v>
      </c>
      <c r="H10" s="565" t="s">
        <v>4937</v>
      </c>
    </row>
    <row r="11" customFormat="false" ht="16.5" hidden="false" customHeight="true" outlineLevel="0" collapsed="false">
      <c r="B11" s="1184" t="s">
        <v>4938</v>
      </c>
      <c r="C11" s="1270" t="n">
        <v>0</v>
      </c>
      <c r="D11" s="593" t="n">
        <f aca="false">C11/'Events · Revenue'!E18</f>
        <v>0</v>
      </c>
      <c r="E11" s="1271" t="n">
        <f aca="false">C11/IF('Events · Drivers'!C32*12=0,1,'Events · Drivers'!C32*12)</f>
        <v>0</v>
      </c>
      <c r="F11" s="455" t="s">
        <v>3663</v>
      </c>
      <c r="G11" s="1272" t="n">
        <v>0</v>
      </c>
      <c r="H11" s="565" t="s">
        <v>4939</v>
      </c>
    </row>
    <row r="12" customFormat="false" ht="15" hidden="false" customHeight="true" outlineLevel="0" collapsed="false">
      <c r="B12" s="999" t="s">
        <v>4851</v>
      </c>
      <c r="C12" s="1273" t="n">
        <f aca="false">'Events · Drivers'!C66</f>
        <v>4000</v>
      </c>
      <c r="D12" s="1274" t="n">
        <f aca="false">C12/'Events · Revenue'!E18</f>
        <v>0.00331617214249592</v>
      </c>
      <c r="E12" s="1275" t="n">
        <f aca="false">C12/IF('Events · Drivers'!C32*12=0,1,'Events · Drivers'!C32*12)</f>
        <v>30.3030303030303</v>
      </c>
      <c r="F12" s="668" t="s">
        <v>3663</v>
      </c>
      <c r="G12" s="1276" t="n">
        <v>0</v>
      </c>
    </row>
    <row r="13" customFormat="false" ht="16.5" hidden="false" customHeight="true" outlineLevel="0" collapsed="false">
      <c r="B13" s="999" t="s">
        <v>4940</v>
      </c>
      <c r="C13" s="1270" t="n">
        <v>0</v>
      </c>
      <c r="D13" s="593" t="n">
        <f aca="false">C13/'Events · Revenue'!E18</f>
        <v>0</v>
      </c>
      <c r="E13" s="1271" t="n">
        <f aca="false">C13/IF('Events · Drivers'!C32*12=0,1,'Events · Drivers'!C32*12)</f>
        <v>0</v>
      </c>
      <c r="F13" s="821" t="s">
        <v>3663</v>
      </c>
      <c r="G13" s="1272" t="n">
        <v>0</v>
      </c>
      <c r="H13" s="565" t="s">
        <v>4941</v>
      </c>
    </row>
    <row r="14" customFormat="false" ht="16.5" hidden="false" customHeight="true" outlineLevel="0" collapsed="false">
      <c r="B14" s="999" t="s">
        <v>4942</v>
      </c>
      <c r="C14" s="1270" t="n">
        <f aca="false">'Events · Drivers'!C50</f>
        <v>15000</v>
      </c>
      <c r="D14" s="593" t="n">
        <f aca="false">C14/'Events · Revenue'!E18</f>
        <v>0.0124356455343597</v>
      </c>
      <c r="E14" s="1271" t="n">
        <f aca="false">C14/IF('Events · Drivers'!C32*12=0,1,'Events · Drivers'!C32*12)</f>
        <v>113.636363636364</v>
      </c>
      <c r="F14" s="821" t="s">
        <v>3663</v>
      </c>
      <c r="G14" s="1272" t="n">
        <v>0</v>
      </c>
      <c r="H14" s="565" t="s">
        <v>4943</v>
      </c>
    </row>
    <row r="15" customFormat="false" ht="16.5" hidden="false" customHeight="true" outlineLevel="0" collapsed="false">
      <c r="B15" s="999" t="s">
        <v>4944</v>
      </c>
      <c r="C15" s="1270" t="n">
        <v>0</v>
      </c>
      <c r="D15" s="593" t="n">
        <f aca="false">C15/'Events · Revenue'!E18</f>
        <v>0</v>
      </c>
      <c r="E15" s="1271" t="n">
        <f aca="false">C15/IF('Events · Drivers'!C32*12=0,1,'Events · Drivers'!C32*12)</f>
        <v>0</v>
      </c>
      <c r="F15" s="821" t="s">
        <v>3663</v>
      </c>
      <c r="G15" s="1272" t="n">
        <v>0</v>
      </c>
      <c r="H15" s="565" t="s">
        <v>4945</v>
      </c>
    </row>
    <row r="16" customFormat="false" ht="33.75" hidden="false" customHeight="true" outlineLevel="0" collapsed="false">
      <c r="B16" s="108" t="s">
        <v>4946</v>
      </c>
      <c r="C16" s="1277"/>
      <c r="D16" s="593"/>
      <c r="E16" s="1278"/>
      <c r="F16" s="821"/>
      <c r="G16" s="1279"/>
      <c r="H16" s="565" t="s">
        <v>4947</v>
      </c>
    </row>
    <row r="17" customFormat="false" ht="15" hidden="false" customHeight="true" outlineLevel="0" collapsed="false">
      <c r="B17" s="1184" t="s">
        <v>4948</v>
      </c>
      <c r="C17" s="1273" t="n">
        <f aca="false">'Events · Drivers'!C18*12*(('Events · Drivers'!C54+'Events · Drivers'!C55+'Events · Drivers'!C56+'Events · Drivers'!C57+'Events · Drivers'!C60)+'Events · Drivers'!C70+400)</f>
        <v>121680</v>
      </c>
      <c r="D17" s="1274" t="n">
        <f aca="false">C17/'Events · Revenue'!E18</f>
        <v>0.100877956574726</v>
      </c>
      <c r="E17" s="1280" t="n">
        <f aca="false">IF('Events · Drivers'!C18=0,0,C17/('Events · Drivers'!C18*12))</f>
        <v>1690</v>
      </c>
      <c r="F17" s="668" t="s">
        <v>4027</v>
      </c>
      <c r="G17" s="1276" t="n">
        <v>1</v>
      </c>
      <c r="H17" s="0" t="s">
        <v>4949</v>
      </c>
    </row>
    <row r="18" customFormat="false" ht="16.5" hidden="false" customHeight="true" outlineLevel="0" collapsed="false">
      <c r="B18" s="1184" t="s">
        <v>4950</v>
      </c>
      <c r="C18" s="1270" t="n">
        <f aca="false">'Events · Drivers'!C19*12*(('Events · Drivers'!C54+'Events · Drivers'!C55+'Events · Drivers'!C56+'Events · Drivers'!C57+'Events · Drivers'!C60)+'Events · Drivers'!C71+400)</f>
        <v>78720</v>
      </c>
      <c r="D18" s="593" t="n">
        <f aca="false">C18/'Events · Revenue'!E18</f>
        <v>0.0652622677643197</v>
      </c>
      <c r="E18" s="1278" t="n">
        <f aca="false">IF('Events · Drivers'!C19=0,0,C18/('Events · Drivers'!C19*12))</f>
        <v>1640</v>
      </c>
      <c r="F18" s="820" t="s">
        <v>4027</v>
      </c>
      <c r="G18" s="1272" t="n">
        <v>1</v>
      </c>
      <c r="H18" s="565" t="s">
        <v>4951</v>
      </c>
    </row>
    <row r="19" customFormat="false" ht="15" hidden="false" customHeight="true" outlineLevel="0" collapsed="false">
      <c r="B19" s="1184" t="s">
        <v>4952</v>
      </c>
      <c r="C19" s="1273" t="n">
        <f aca="false">'Events · Drivers'!C20*12*(('Events · Drivers'!C54+'Events · Drivers'!C55+'Events · Drivers'!C56+'Events · Drivers'!C57+'Events · Drivers'!C60)+'Events · Drivers'!C72+400)</f>
        <v>21480</v>
      </c>
      <c r="D19" s="1274" t="n">
        <f aca="false">C19/'Events · Revenue'!E18</f>
        <v>0.0178078444052031</v>
      </c>
      <c r="E19" s="1280" t="n">
        <f aca="false">IF('Events · Drivers'!C20=0,0,C19/('Events · Drivers'!C20*12))</f>
        <v>1790</v>
      </c>
      <c r="F19" s="668" t="s">
        <v>4027</v>
      </c>
      <c r="G19" s="1276" t="n">
        <v>1</v>
      </c>
    </row>
    <row r="20" customFormat="false" ht="24" hidden="false" customHeight="true" outlineLevel="0" collapsed="false">
      <c r="B20" s="117" t="s">
        <v>4953</v>
      </c>
      <c r="C20" s="1281" t="n">
        <f aca="false">SUM(C7:C19)+C21</f>
        <v>397928</v>
      </c>
      <c r="D20" s="1223" t="n">
        <f aca="false">C20/'Events · Revenue'!E18</f>
        <v>0.329899437079779</v>
      </c>
      <c r="G20" s="6"/>
    </row>
    <row r="21" customFormat="false" ht="15" hidden="false" customHeight="true" outlineLevel="0" collapsed="false">
      <c r="B21" s="1184" t="s">
        <v>4954</v>
      </c>
      <c r="C21" s="1273" t="n">
        <f aca="false">0.07*('Events · Drivers'!C18*'Events · Drivers'!C21+'Events · Drivers'!C19*'Events · Drivers'!C22)*12</f>
        <v>69048</v>
      </c>
      <c r="D21" s="1274"/>
      <c r="E21" s="1280"/>
      <c r="F21" s="668" t="s">
        <v>4027</v>
      </c>
      <c r="G21" s="1276" t="n">
        <v>1</v>
      </c>
      <c r="H21" s="0" t="s">
        <v>4955</v>
      </c>
    </row>
    <row r="22" customFormat="false" ht="33.75" hidden="false" customHeight="true" outlineLevel="0" collapsed="false">
      <c r="B22" s="96" t="s">
        <v>4956</v>
      </c>
      <c r="C22" s="96"/>
      <c r="D22" s="96"/>
      <c r="E22" s="96"/>
      <c r="F22" s="96"/>
      <c r="G22" s="96"/>
      <c r="H22" s="96"/>
    </row>
    <row r="23" customFormat="false" ht="15" hidden="false" customHeight="true" outlineLevel="0" collapsed="false">
      <c r="B23" s="999" t="s">
        <v>4957</v>
      </c>
      <c r="C23" s="1282" t="n">
        <f aca="false">SUMPRODUCT(C7:C19,1-G7:G19)+C21*(1-G21)</f>
        <v>107000</v>
      </c>
      <c r="D23" s="594" t="n">
        <f aca="false">C23/C20</f>
        <v>0.268892865040912</v>
      </c>
      <c r="G23" s="6"/>
    </row>
    <row r="24" customFormat="false" ht="15" hidden="false" customHeight="true" outlineLevel="0" collapsed="false">
      <c r="B24" s="999" t="s">
        <v>4958</v>
      </c>
      <c r="C24" s="1283" t="n">
        <f aca="false">SUMPRODUCT(C7:C19,G7:G19)+C21*G21</f>
        <v>290928</v>
      </c>
      <c r="D24" s="594" t="n">
        <f aca="false">C24/C20</f>
        <v>0.731107134959088</v>
      </c>
      <c r="G24" s="6"/>
    </row>
    <row r="25" customFormat="false" ht="15" hidden="false" customHeight="true" outlineLevel="0" collapsed="false">
      <c r="B25" s="6"/>
      <c r="G25" s="6"/>
    </row>
    <row r="26" customFormat="false" ht="15" hidden="false" customHeight="true" outlineLevel="0" collapsed="false">
      <c r="B26" s="1184" t="s">
        <v>4959</v>
      </c>
      <c r="C26" s="1284" t="n">
        <f aca="false">C24/'Events · Revenue'!E18</f>
        <v>0.241191832268013</v>
      </c>
      <c r="G26" s="6"/>
      <c r="H26" s="565" t="s">
        <v>4960</v>
      </c>
    </row>
    <row r="27" customFormat="false" ht="15" hidden="false" customHeight="true" outlineLevel="0" collapsed="false">
      <c r="B27" s="6"/>
      <c r="G27" s="6"/>
    </row>
    <row r="28" customFormat="false" ht="15" hidden="false" customHeight="true" outlineLevel="0" collapsed="false">
      <c r="B28" s="999" t="s">
        <v>4961</v>
      </c>
      <c r="C28" s="1285" t="str">
        <f aca="false">IF(ABS((C23+C24)-C20)&lt;1,"✓ Reconciles","✗ Diff: "&amp;TEXT((C23+C24)-C20,"#,##0"))</f>
        <v>✓ Reconciles</v>
      </c>
      <c r="G28" s="6"/>
    </row>
    <row r="29" customFormat="false" ht="15" hidden="false" customHeight="true" outlineLevel="0" collapsed="false">
      <c r="B29" s="6"/>
      <c r="G29" s="6"/>
    </row>
    <row r="30" customFormat="false" ht="21.75" hidden="false" customHeight="true" outlineLevel="0" collapsed="false">
      <c r="B30" s="72" t="s">
        <v>4069</v>
      </c>
      <c r="C30" s="72"/>
      <c r="D30" s="72"/>
      <c r="E30" s="72"/>
      <c r="F30" s="72"/>
      <c r="G30" s="72"/>
      <c r="H30" s="72"/>
    </row>
    <row r="31" customFormat="false" ht="15" hidden="false" customHeight="true" outlineLevel="0" collapsed="false">
      <c r="B31" s="999" t="s">
        <v>4962</v>
      </c>
      <c r="C31" s="1286" t="n">
        <f aca="false">'Events · Revenue'!E18</f>
        <v>1206210</v>
      </c>
      <c r="G31" s="6"/>
    </row>
    <row r="32" customFormat="false" ht="15" hidden="false" customHeight="true" outlineLevel="0" collapsed="false">
      <c r="B32" s="999" t="s">
        <v>4963</v>
      </c>
      <c r="C32" s="1287" t="n">
        <f aca="false">-C20</f>
        <v>-397928</v>
      </c>
      <c r="G32" s="6"/>
    </row>
    <row r="33" customFormat="false" ht="17.25" hidden="false" customHeight="true" outlineLevel="0" collapsed="false">
      <c r="B33" s="117" t="s">
        <v>4964</v>
      </c>
      <c r="C33" s="1282" t="n">
        <f aca="false">C31+C32</f>
        <v>808282</v>
      </c>
      <c r="G33" s="6"/>
    </row>
    <row r="34" customFormat="false" ht="15" hidden="false" customHeight="true" outlineLevel="0" collapsed="false">
      <c r="B34" s="81" t="s">
        <v>4965</v>
      </c>
      <c r="C34" s="1288" t="n">
        <f aca="false">C33/C31</f>
        <v>0.670100562920221</v>
      </c>
      <c r="G34" s="6"/>
    </row>
  </sheetData>
  <mergeCells count="6">
    <mergeCell ref="B2:F2"/>
    <mergeCell ref="G2:J2"/>
    <mergeCell ref="B3:J3"/>
    <mergeCell ref="B5:H5"/>
    <mergeCell ref="B22:H22"/>
    <mergeCell ref="B30:H3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3"/>
    <col collapsed="false" customWidth="true" hidden="false" outlineLevel="0" max="10" min="3" style="0" width="11"/>
    <col collapsed="false" customWidth="true" hidden="false" outlineLevel="0" max="11" min="11" style="0" width="9"/>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4966</v>
      </c>
      <c r="C2" s="88"/>
      <c r="D2" s="88"/>
      <c r="E2" s="88"/>
      <c r="F2" s="88"/>
      <c r="G2" s="88"/>
      <c r="H2" s="89" t="s">
        <v>995</v>
      </c>
      <c r="I2" s="89"/>
      <c r="J2" s="89"/>
      <c r="K2" s="89"/>
    </row>
    <row r="3" customFormat="false" ht="18" hidden="false" customHeight="true" outlineLevel="0" collapsed="false">
      <c r="B3" s="90" t="s">
        <v>4967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575" t="s">
        <v>4968</v>
      </c>
      <c r="C5" s="575"/>
      <c r="D5" s="575"/>
      <c r="E5" s="575"/>
      <c r="F5" s="575"/>
      <c r="G5" s="575"/>
      <c r="H5" s="575"/>
      <c r="I5" s="575"/>
      <c r="J5" s="575"/>
      <c r="K5" s="575"/>
    </row>
    <row r="6" customFormat="false" ht="21.75" hidden="false" customHeight="true" outlineLevel="0" collapsed="false">
      <c r="B6" s="97" t="s">
        <v>206</v>
      </c>
      <c r="C6" s="98" t="s">
        <v>760</v>
      </c>
      <c r="D6" s="98" t="s">
        <v>908</v>
      </c>
      <c r="E6" s="98" t="s">
        <v>765</v>
      </c>
      <c r="F6" s="98" t="s">
        <v>770</v>
      </c>
      <c r="G6" s="98" t="s">
        <v>909</v>
      </c>
      <c r="H6" s="98" t="s">
        <v>910</v>
      </c>
      <c r="I6" s="98" t="s">
        <v>911</v>
      </c>
      <c r="J6" s="98" t="s">
        <v>912</v>
      </c>
      <c r="K6" s="6"/>
    </row>
    <row r="7" customFormat="false" ht="15" hidden="false" customHeight="true" outlineLevel="0" collapsed="false">
      <c r="B7" s="1289" t="s">
        <v>4969</v>
      </c>
      <c r="C7" s="1278" t="n">
        <f aca="false">'Events · Costs'!C31</f>
        <v>1206210</v>
      </c>
      <c r="D7" s="1278" t="n">
        <f aca="false">'Events · Costs'!C31</f>
        <v>1206210</v>
      </c>
      <c r="E7" s="1278" t="n">
        <f aca="false">'Events · Costs'!C31</f>
        <v>1206210</v>
      </c>
      <c r="F7" s="1278" t="n">
        <f aca="false">'Events · Costs'!C31</f>
        <v>1206210</v>
      </c>
      <c r="G7" s="1278" t="n">
        <f aca="false">'Events · Costs'!C31</f>
        <v>1206210</v>
      </c>
      <c r="H7" s="1278" t="n">
        <f aca="false">'Events · Costs'!C31</f>
        <v>1206210</v>
      </c>
      <c r="I7" s="1278" t="n">
        <f aca="false">'Events · Costs'!C31</f>
        <v>1206210</v>
      </c>
      <c r="J7" s="1278" t="n">
        <f aca="false">'Events · Costs'!C31</f>
        <v>1206210</v>
      </c>
      <c r="K7" s="6"/>
    </row>
    <row r="8" customFormat="false" ht="15" hidden="false" customHeight="true" outlineLevel="0" collapsed="false">
      <c r="B8" s="1289" t="s">
        <v>4970</v>
      </c>
      <c r="C8" s="593" t="n">
        <v>0.8</v>
      </c>
      <c r="D8" s="593" t="n">
        <v>0.9</v>
      </c>
      <c r="E8" s="593" t="n">
        <v>1</v>
      </c>
      <c r="F8" s="593" t="n">
        <v>1</v>
      </c>
      <c r="G8" s="593" t="n">
        <v>1.05</v>
      </c>
      <c r="H8" s="593" t="n">
        <v>1.1025</v>
      </c>
      <c r="I8" s="593" t="n">
        <v>1.157625</v>
      </c>
      <c r="J8" s="593" t="n">
        <v>1.21550625</v>
      </c>
      <c r="K8" s="6"/>
    </row>
    <row r="9" customFormat="false" ht="15" hidden="false" customHeight="true" outlineLevel="0" collapsed="false">
      <c r="B9" s="6"/>
      <c r="K9" s="6"/>
    </row>
    <row r="10" customFormat="false" ht="21.75" hidden="false" customHeight="true" outlineLevel="0" collapsed="false">
      <c r="B10" s="575" t="s">
        <v>4061</v>
      </c>
      <c r="C10" s="575"/>
      <c r="D10" s="575"/>
      <c r="E10" s="575"/>
      <c r="F10" s="575"/>
      <c r="G10" s="575"/>
      <c r="H10" s="575"/>
      <c r="I10" s="575"/>
      <c r="J10" s="575"/>
      <c r="K10" s="575"/>
    </row>
    <row r="11" customFormat="false" ht="21.75" hidden="false" customHeight="true" outlineLevel="0" collapsed="false">
      <c r="B11" s="81" t="s">
        <v>4962</v>
      </c>
      <c r="C11" s="577" t="n">
        <f aca="false">C7*C8</f>
        <v>964968</v>
      </c>
      <c r="D11" s="577" t="n">
        <f aca="false">D7*D8</f>
        <v>1085589</v>
      </c>
      <c r="E11" s="577" t="n">
        <f aca="false">E7*E8</f>
        <v>1206210</v>
      </c>
      <c r="F11" s="577" t="n">
        <f aca="false">F7*F8</f>
        <v>1206210</v>
      </c>
      <c r="G11" s="577" t="n">
        <f aca="false">G7*G8</f>
        <v>1266520.5</v>
      </c>
      <c r="H11" s="577" t="n">
        <f aca="false">H7*H8</f>
        <v>1329846.525</v>
      </c>
      <c r="I11" s="577" t="n">
        <f aca="false">I7*I8</f>
        <v>1396338.85125</v>
      </c>
      <c r="J11" s="577" t="n">
        <f aca="false">J7*J8</f>
        <v>1466155.7938125</v>
      </c>
      <c r="K11" s="6"/>
    </row>
    <row r="12" customFormat="false" ht="15" hidden="false" customHeight="true" outlineLevel="0" collapsed="false">
      <c r="B12" s="128" t="s">
        <v>4064</v>
      </c>
      <c r="C12" s="573" t="s">
        <v>672</v>
      </c>
      <c r="D12" s="593" t="n">
        <f aca="false">D11/C11-1</f>
        <v>0.125</v>
      </c>
      <c r="E12" s="593" t="n">
        <f aca="false">E11/D11-1</f>
        <v>0.111111111111111</v>
      </c>
      <c r="F12" s="593" t="n">
        <f aca="false">F11/E11-1</f>
        <v>0</v>
      </c>
      <c r="G12" s="593" t="n">
        <f aca="false">G11/F11-1</f>
        <v>0.05</v>
      </c>
      <c r="H12" s="593" t="n">
        <f aca="false">H11/G11-1</f>
        <v>0.05</v>
      </c>
      <c r="I12" s="593" t="n">
        <f aca="false">I11/H11-1</f>
        <v>0.0499999999999998</v>
      </c>
      <c r="J12" s="593" t="n">
        <f aca="false">J11/I11-1</f>
        <v>0.0500000000000003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4971</v>
      </c>
      <c r="C15" s="360" t="n">
        <f aca="false">'Events · Costs'!C23</f>
        <v>107000</v>
      </c>
      <c r="D15" s="360" t="n">
        <f aca="false">'Events · Costs'!C23</f>
        <v>107000</v>
      </c>
      <c r="E15" s="360" t="n">
        <f aca="false">'Events · Costs'!C23</f>
        <v>107000</v>
      </c>
      <c r="F15" s="360" t="n">
        <f aca="false">'Events · Costs'!C23</f>
        <v>107000</v>
      </c>
      <c r="G15" s="360" t="n">
        <f aca="false">'Events · Costs'!C23</f>
        <v>107000</v>
      </c>
      <c r="H15" s="360" t="n">
        <f aca="false">'Events · Costs'!C23</f>
        <v>107000</v>
      </c>
      <c r="I15" s="360" t="n">
        <f aca="false">'Events · Costs'!C23</f>
        <v>107000</v>
      </c>
      <c r="J15" s="360" t="n">
        <f aca="false">'Events · Costs'!C23</f>
        <v>107000</v>
      </c>
      <c r="K15" s="6"/>
    </row>
    <row r="16" customFormat="false" ht="15" hidden="false" customHeight="true" outlineLevel="0" collapsed="false">
      <c r="B16" s="113" t="s">
        <v>4972</v>
      </c>
      <c r="C16" s="360" t="n">
        <f aca="false">('Events · Costs'!C24)*C8</f>
        <v>232742.4</v>
      </c>
      <c r="D16" s="360" t="n">
        <f aca="false">('Events · Costs'!C24)*D8</f>
        <v>261835.2</v>
      </c>
      <c r="E16" s="360" t="n">
        <f aca="false">('Events · Costs'!C24)*E8</f>
        <v>290928</v>
      </c>
      <c r="F16" s="360" t="n">
        <f aca="false">('Events · Costs'!C24)*F8</f>
        <v>290928</v>
      </c>
      <c r="G16" s="360" t="n">
        <f aca="false">('Events · Costs'!C24)*G8</f>
        <v>305474.4</v>
      </c>
      <c r="H16" s="360" t="n">
        <f aca="false">('Events · Costs'!C24)*H8</f>
        <v>320748.12</v>
      </c>
      <c r="I16" s="360" t="n">
        <f aca="false">('Events · Costs'!C24)*I8</f>
        <v>336785.526</v>
      </c>
      <c r="J16" s="360" t="n">
        <f aca="false">('Events · Costs'!C24)*J8</f>
        <v>353624.8023</v>
      </c>
      <c r="K16" s="6"/>
    </row>
    <row r="17" customFormat="false" ht="21.75" hidden="false" customHeight="true" outlineLevel="0" collapsed="false">
      <c r="B17" s="117" t="s">
        <v>4973</v>
      </c>
      <c r="C17" s="1290" t="n">
        <f aca="false">C15+C16</f>
        <v>339742.4</v>
      </c>
      <c r="D17" s="1290" t="n">
        <f aca="false">D15+D16</f>
        <v>368835.2</v>
      </c>
      <c r="E17" s="1290" t="n">
        <f aca="false">E15+E16</f>
        <v>397928</v>
      </c>
      <c r="F17" s="1290" t="n">
        <f aca="false">F15+F16</f>
        <v>397928</v>
      </c>
      <c r="G17" s="1290" t="n">
        <f aca="false">G15+G16</f>
        <v>412474.4</v>
      </c>
      <c r="H17" s="1290" t="n">
        <f aca="false">H15+H16</f>
        <v>427748.12</v>
      </c>
      <c r="I17" s="1290" t="n">
        <f aca="false">I15+I16</f>
        <v>443785.526</v>
      </c>
      <c r="J17" s="1290" t="n">
        <f aca="false">J15+J16</f>
        <v>460624.8023</v>
      </c>
      <c r="K17" s="6"/>
    </row>
    <row r="18" customFormat="false" ht="15" hidden="false" customHeight="true" outlineLevel="0" collapsed="false">
      <c r="B18" s="6"/>
      <c r="K18" s="6"/>
    </row>
    <row r="19" customFormat="false" ht="21.75" hidden="false" customHeight="true" outlineLevel="0" collapsed="false">
      <c r="B19" s="96" t="s">
        <v>4974</v>
      </c>
      <c r="C19" s="96"/>
      <c r="D19" s="96"/>
      <c r="E19" s="96"/>
      <c r="F19" s="96"/>
      <c r="G19" s="96"/>
      <c r="H19" s="96"/>
      <c r="I19" s="96"/>
      <c r="J19" s="96"/>
      <c r="K19" s="96"/>
    </row>
    <row r="20" customFormat="false" ht="25.5" hidden="false" customHeight="true" outlineLevel="0" collapsed="false">
      <c r="B20" s="117" t="s">
        <v>4975</v>
      </c>
      <c r="C20" s="996" t="n">
        <f aca="false">C11-C17</f>
        <v>625225.6</v>
      </c>
      <c r="D20" s="996" t="n">
        <f aca="false">D11-D17</f>
        <v>716753.8</v>
      </c>
      <c r="E20" s="996" t="n">
        <f aca="false">E11-E17</f>
        <v>808282</v>
      </c>
      <c r="F20" s="996" t="n">
        <f aca="false">F11-F17</f>
        <v>808282</v>
      </c>
      <c r="G20" s="996" t="n">
        <f aca="false">G11-G17</f>
        <v>854046.1</v>
      </c>
      <c r="H20" s="996" t="n">
        <f aca="false">H11-H17</f>
        <v>902098.405</v>
      </c>
      <c r="I20" s="996" t="n">
        <f aca="false">I11-I17</f>
        <v>952553.32525</v>
      </c>
      <c r="J20" s="996" t="n">
        <f aca="false">J11-J17</f>
        <v>1005530.9915125</v>
      </c>
      <c r="K20" s="6"/>
    </row>
    <row r="21" customFormat="false" ht="15" hidden="false" customHeight="true" outlineLevel="0" collapsed="false">
      <c r="B21" s="592" t="s">
        <v>4976</v>
      </c>
      <c r="C21" s="635" t="n">
        <f aca="false">C20/C11</f>
        <v>0.64792366171728</v>
      </c>
      <c r="D21" s="635" t="n">
        <f aca="false">D20/D11</f>
        <v>0.660244162385581</v>
      </c>
      <c r="E21" s="635" t="n">
        <f aca="false">E20/E11</f>
        <v>0.670100562920221</v>
      </c>
      <c r="F21" s="635" t="n">
        <f aca="false">F20/F11</f>
        <v>0.670100562920221</v>
      </c>
      <c r="G21" s="635" t="n">
        <f aca="false">G20/G11</f>
        <v>0.674324734577924</v>
      </c>
      <c r="H21" s="635" t="n">
        <f aca="false">H20/H11</f>
        <v>0.678347755204308</v>
      </c>
      <c r="I21" s="635" t="n">
        <f aca="false">I20/I11</f>
        <v>0.682179203419912</v>
      </c>
      <c r="J21" s="635" t="n">
        <f aca="false">J20/J11</f>
        <v>0.685828201720487</v>
      </c>
      <c r="K21" s="6"/>
    </row>
    <row r="22" customFormat="false" ht="15" hidden="false" customHeight="true" outlineLevel="0" collapsed="false">
      <c r="B22" s="6"/>
      <c r="K22" s="6"/>
    </row>
    <row r="23" customFormat="false" ht="15" hidden="false" customHeight="true" outlineLevel="0" collapsed="false">
      <c r="B23" s="6"/>
      <c r="K23" s="6"/>
    </row>
    <row r="24" customFormat="false" ht="21.75" hidden="false" customHeight="true" outlineLevel="0" collapsed="false">
      <c r="B24" s="72" t="s">
        <v>4977</v>
      </c>
      <c r="C24" s="72"/>
      <c r="D24" s="72"/>
      <c r="E24" s="72"/>
      <c r="F24" s="72"/>
      <c r="G24" s="72"/>
      <c r="H24" s="72"/>
      <c r="I24" s="72"/>
      <c r="J24" s="72"/>
      <c r="K24" s="72"/>
    </row>
    <row r="25" customFormat="false" ht="15" hidden="false" customHeight="true" outlineLevel="0" collapsed="false">
      <c r="B25" s="699" t="s">
        <v>4978</v>
      </c>
      <c r="C25" s="608" t="n">
        <f aca="false">SUM(C11:J11)</f>
        <v>9921838.6700625</v>
      </c>
      <c r="K25" s="6"/>
    </row>
    <row r="26" customFormat="false" ht="15" hidden="false" customHeight="true" outlineLevel="0" collapsed="false">
      <c r="B26" s="699" t="s">
        <v>4979</v>
      </c>
      <c r="C26" s="996" t="n">
        <f aca="false">SUM(C20:J20)</f>
        <v>6672772.2217625</v>
      </c>
      <c r="K26" s="6"/>
    </row>
  </sheetData>
  <mergeCells count="8">
    <mergeCell ref="B2:G2"/>
    <mergeCell ref="H2:K2"/>
    <mergeCell ref="B3:K3"/>
    <mergeCell ref="B5:K5"/>
    <mergeCell ref="B10:K10"/>
    <mergeCell ref="B14:K14"/>
    <mergeCell ref="B19:K19"/>
    <mergeCell ref="B24:K24"/>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K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0" min="3" style="0" width="11"/>
    <col collapsed="false" customWidth="true" hidden="false" outlineLevel="0" max="11" min="11" style="0" width="9"/>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4980</v>
      </c>
      <c r="C2" s="15"/>
      <c r="D2" s="15"/>
      <c r="E2" s="15"/>
      <c r="F2" s="15"/>
      <c r="G2" s="15"/>
      <c r="H2" s="89" t="s">
        <v>995</v>
      </c>
      <c r="I2" s="89"/>
      <c r="J2" s="89"/>
      <c r="K2" s="89"/>
    </row>
    <row r="3" customFormat="false" ht="33.75" hidden="false" customHeight="true" outlineLevel="0" collapsed="false">
      <c r="B3" s="90" t="s">
        <v>4981</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575" t="s">
        <v>4982</v>
      </c>
      <c r="C5" s="575"/>
      <c r="D5" s="575"/>
      <c r="E5" s="575"/>
      <c r="F5" s="575"/>
      <c r="G5" s="575"/>
      <c r="H5" s="575"/>
      <c r="I5" s="575"/>
      <c r="J5" s="575"/>
      <c r="K5" s="575"/>
    </row>
    <row r="6" customFormat="false" ht="21.75" hidden="false" customHeight="true" outlineLevel="0" collapsed="false">
      <c r="B6" s="97" t="s">
        <v>1141</v>
      </c>
      <c r="C6" s="98" t="s">
        <v>760</v>
      </c>
      <c r="D6" s="98" t="s">
        <v>908</v>
      </c>
      <c r="E6" s="98" t="s">
        <v>765</v>
      </c>
      <c r="F6" s="98" t="s">
        <v>770</v>
      </c>
      <c r="G6" s="98" t="s">
        <v>909</v>
      </c>
      <c r="H6" s="98" t="s">
        <v>910</v>
      </c>
      <c r="I6" s="98" t="s">
        <v>911</v>
      </c>
      <c r="J6" s="98" t="s">
        <v>912</v>
      </c>
      <c r="K6" s="6"/>
    </row>
    <row r="7" customFormat="false" ht="16.5" hidden="false" customHeight="true" outlineLevel="0" collapsed="false">
      <c r="B7" s="113" t="s">
        <v>4500</v>
      </c>
      <c r="C7" s="571" t="n">
        <f aca="false">('Events · Revenue'!C7*'Events · Revenue'!D7*12)*'Events · 8-Year'!C8</f>
        <v>547200</v>
      </c>
      <c r="D7" s="571" t="n">
        <f aca="false">('Events · Revenue'!C7*'Events · Revenue'!D7*12)*'Events · 8-Year'!D8</f>
        <v>615600</v>
      </c>
      <c r="E7" s="571" t="n">
        <f aca="false">('Events · Revenue'!C7*'Events · Revenue'!D7*12)*'Events · 8-Year'!E8</f>
        <v>684000</v>
      </c>
      <c r="F7" s="571" t="n">
        <f aca="false">('Events · Revenue'!C7*'Events · Revenue'!D7*12)*'Events · 8-Year'!F8</f>
        <v>684000</v>
      </c>
      <c r="G7" s="571" t="n">
        <f aca="false">('Events · Revenue'!C7*'Events · Revenue'!D7*12)*'Events · 8-Year'!G8</f>
        <v>718200</v>
      </c>
      <c r="H7" s="571" t="n">
        <f aca="false">('Events · Revenue'!C7*'Events · Revenue'!D7*12)*'Events · 8-Year'!H8</f>
        <v>754110</v>
      </c>
      <c r="I7" s="571" t="n">
        <f aca="false">('Events · Revenue'!C7*'Events · Revenue'!D7*12)*'Events · 8-Year'!I8</f>
        <v>791815.5</v>
      </c>
      <c r="J7" s="571" t="n">
        <f aca="false">('Events · Revenue'!C7*'Events · Revenue'!D7*12)*'Events · 8-Year'!J8</f>
        <v>831406.275</v>
      </c>
      <c r="K7" s="6"/>
    </row>
    <row r="8" customFormat="false" ht="16.5" hidden="false" customHeight="true" outlineLevel="0" collapsed="false">
      <c r="B8" s="113" t="s">
        <v>4501</v>
      </c>
      <c r="C8" s="571" t="n">
        <f aca="false">('Events · Revenue'!C8*'Events · Revenue'!D8*12)*'Events · 8-Year'!C8</f>
        <v>241920</v>
      </c>
      <c r="D8" s="571" t="n">
        <f aca="false">('Events · Revenue'!C8*'Events · Revenue'!D8*12)*'Events · 8-Year'!D8</f>
        <v>272160</v>
      </c>
      <c r="E8" s="571" t="n">
        <f aca="false">('Events · Revenue'!C8*'Events · Revenue'!D8*12)*'Events · 8-Year'!E8</f>
        <v>302400</v>
      </c>
      <c r="F8" s="571" t="n">
        <f aca="false">('Events · Revenue'!C8*'Events · Revenue'!D8*12)*'Events · 8-Year'!F8</f>
        <v>302400</v>
      </c>
      <c r="G8" s="571" t="n">
        <f aca="false">('Events · Revenue'!C8*'Events · Revenue'!D8*12)*'Events · 8-Year'!G8</f>
        <v>317520</v>
      </c>
      <c r="H8" s="571" t="n">
        <f aca="false">('Events · Revenue'!C8*'Events · Revenue'!D8*12)*'Events · 8-Year'!H8</f>
        <v>333396</v>
      </c>
      <c r="I8" s="571" t="n">
        <f aca="false">('Events · Revenue'!C8*'Events · Revenue'!D8*12)*'Events · 8-Year'!I8</f>
        <v>350065.8</v>
      </c>
      <c r="J8" s="571" t="n">
        <f aca="false">('Events · Revenue'!C8*'Events · Revenue'!D8*12)*'Events · 8-Year'!J8</f>
        <v>367569.09</v>
      </c>
      <c r="K8" s="6"/>
    </row>
    <row r="9" customFormat="false" ht="16.5" hidden="false" customHeight="true" outlineLevel="0" collapsed="false">
      <c r="B9" s="113" t="s">
        <v>4502</v>
      </c>
      <c r="C9" s="571" t="n">
        <f aca="false">('Events · Revenue'!C9*'Events · Revenue'!D9*12)*'Events · 8-Year'!C8</f>
        <v>48000</v>
      </c>
      <c r="D9" s="571" t="n">
        <f aca="false">('Events · Revenue'!C9*'Events · Revenue'!D9*12)*'Events · 8-Year'!D8</f>
        <v>54000</v>
      </c>
      <c r="E9" s="571" t="n">
        <f aca="false">('Events · Revenue'!C9*'Events · Revenue'!D9*12)*'Events · 8-Year'!E8</f>
        <v>60000</v>
      </c>
      <c r="F9" s="571" t="n">
        <f aca="false">('Events · Revenue'!C9*'Events · Revenue'!D9*12)*'Events · 8-Year'!F8</f>
        <v>60000</v>
      </c>
      <c r="G9" s="571" t="n">
        <f aca="false">('Events · Revenue'!C9*'Events · Revenue'!D9*12)*'Events · 8-Year'!G8</f>
        <v>63000</v>
      </c>
      <c r="H9" s="571" t="n">
        <f aca="false">('Events · Revenue'!C9*'Events · Revenue'!D9*12)*'Events · 8-Year'!H8</f>
        <v>66150</v>
      </c>
      <c r="I9" s="571" t="n">
        <f aca="false">('Events · Revenue'!C9*'Events · Revenue'!D9*12)*'Events · 8-Year'!I8</f>
        <v>69457.5</v>
      </c>
      <c r="J9" s="571" t="n">
        <f aca="false">('Events · Revenue'!C9*'Events · Revenue'!D9*12)*'Events · 8-Year'!J8</f>
        <v>72930.375</v>
      </c>
      <c r="K9" s="6"/>
    </row>
    <row r="10" customFormat="false" ht="21.75" hidden="false" customHeight="true" outlineLevel="0" collapsed="false">
      <c r="B10" s="117" t="s">
        <v>4983</v>
      </c>
      <c r="C10" s="1291" t="n">
        <f aca="false">'Events · 8-Year'!C11</f>
        <v>964968</v>
      </c>
      <c r="D10" s="1291" t="n">
        <f aca="false">'Events · 8-Year'!D11</f>
        <v>1085589</v>
      </c>
      <c r="E10" s="1291" t="n">
        <f aca="false">'Events · 8-Year'!E11</f>
        <v>1206210</v>
      </c>
      <c r="F10" s="1291" t="n">
        <f aca="false">'Events · 8-Year'!F11</f>
        <v>1206210</v>
      </c>
      <c r="G10" s="1291" t="n">
        <f aca="false">'Events · 8-Year'!G11</f>
        <v>1266520.5</v>
      </c>
      <c r="H10" s="1291" t="n">
        <f aca="false">'Events · 8-Year'!H11</f>
        <v>1329846.525</v>
      </c>
      <c r="I10" s="1291" t="n">
        <f aca="false">'Events · 8-Year'!I11</f>
        <v>1396338.85125</v>
      </c>
      <c r="J10" s="1291" t="n">
        <f aca="false">'Events · 8-Year'!J11</f>
        <v>1466155.7938125</v>
      </c>
      <c r="K10" s="6"/>
    </row>
    <row r="11" customFormat="false" ht="15" hidden="false" customHeight="true" outlineLevel="0" collapsed="false">
      <c r="B11" s="6"/>
      <c r="K11" s="6"/>
    </row>
    <row r="12" customFormat="false" ht="21.75" hidden="false" customHeight="true" outlineLevel="0" collapsed="false">
      <c r="B12" s="575" t="s">
        <v>4984</v>
      </c>
      <c r="C12" s="575"/>
      <c r="D12" s="575"/>
      <c r="E12" s="575"/>
      <c r="F12" s="575"/>
      <c r="G12" s="575"/>
      <c r="H12" s="575"/>
      <c r="I12" s="575"/>
      <c r="J12" s="575"/>
      <c r="K12" s="575"/>
    </row>
    <row r="13" customFormat="false" ht="15" hidden="false" customHeight="true" outlineLevel="0" collapsed="false">
      <c r="B13" s="113" t="s">
        <v>4985</v>
      </c>
      <c r="C13" s="360" t="n">
        <f aca="false">-'Events · 8-Year'!C17</f>
        <v>-339742.4</v>
      </c>
      <c r="D13" s="360" t="n">
        <f aca="false">-'Events · 8-Year'!D17</f>
        <v>-368835.2</v>
      </c>
      <c r="E13" s="360" t="n">
        <f aca="false">-'Events · 8-Year'!E17</f>
        <v>-397928</v>
      </c>
      <c r="F13" s="360" t="n">
        <f aca="false">-'Events · 8-Year'!F17</f>
        <v>-397928</v>
      </c>
      <c r="G13" s="360" t="n">
        <f aca="false">-'Events · 8-Year'!G17</f>
        <v>-412474.4</v>
      </c>
      <c r="H13" s="360" t="n">
        <f aca="false">-'Events · 8-Year'!H17</f>
        <v>-427748.12</v>
      </c>
      <c r="I13" s="360" t="n">
        <f aca="false">-'Events · 8-Year'!I17</f>
        <v>-443785.526</v>
      </c>
      <c r="J13" s="360" t="n">
        <f aca="false">-'Events · 8-Year'!J17</f>
        <v>-460624.8023</v>
      </c>
      <c r="K13" s="6"/>
    </row>
    <row r="14" customFormat="false" ht="15" hidden="false" customHeight="true" outlineLevel="0" collapsed="false">
      <c r="B14" s="6"/>
      <c r="K14" s="6"/>
    </row>
    <row r="15" customFormat="false" ht="21.75" hidden="false" customHeight="true" outlineLevel="0" collapsed="false">
      <c r="B15" s="72" t="s">
        <v>4093</v>
      </c>
      <c r="C15" s="72"/>
      <c r="D15" s="72"/>
      <c r="E15" s="72"/>
      <c r="F15" s="72"/>
      <c r="G15" s="72"/>
      <c r="H15" s="72"/>
      <c r="I15" s="72"/>
      <c r="J15" s="72"/>
      <c r="K15" s="72"/>
    </row>
    <row r="16" customFormat="false" ht="21.75" hidden="false" customHeight="true" outlineLevel="0" collapsed="false">
      <c r="B16" s="117" t="s">
        <v>4986</v>
      </c>
      <c r="C16" s="577" t="n">
        <f aca="false">C10+C13</f>
        <v>625225.6</v>
      </c>
      <c r="D16" s="577" t="n">
        <f aca="false">D10+D13</f>
        <v>716753.8</v>
      </c>
      <c r="E16" s="577" t="n">
        <f aca="false">E10+E13</f>
        <v>808282</v>
      </c>
      <c r="F16" s="577" t="n">
        <f aca="false">F10+F13</f>
        <v>808282</v>
      </c>
      <c r="G16" s="577" t="n">
        <f aca="false">G10+G13</f>
        <v>854046.1</v>
      </c>
      <c r="H16" s="577" t="n">
        <f aca="false">H10+H13</f>
        <v>902098.405</v>
      </c>
      <c r="I16" s="577" t="n">
        <f aca="false">I10+I13</f>
        <v>952553.32525</v>
      </c>
      <c r="J16" s="577" t="n">
        <f aca="false">J10+J13</f>
        <v>1005530.9915125</v>
      </c>
      <c r="K16" s="6"/>
    </row>
    <row r="17" customFormat="false" ht="15" hidden="false" customHeight="true" outlineLevel="0" collapsed="false">
      <c r="B17" s="128" t="s">
        <v>4095</v>
      </c>
      <c r="C17" s="593" t="n">
        <f aca="false">C16/C10</f>
        <v>0.64792366171728</v>
      </c>
      <c r="D17" s="593" t="n">
        <f aca="false">D16/D10</f>
        <v>0.660244162385581</v>
      </c>
      <c r="E17" s="593" t="n">
        <f aca="false">E16/E10</f>
        <v>0.670100562920221</v>
      </c>
      <c r="F17" s="593" t="n">
        <f aca="false">F16/F10</f>
        <v>0.670100562920221</v>
      </c>
      <c r="G17" s="593" t="n">
        <f aca="false">G16/G10</f>
        <v>0.674324734577924</v>
      </c>
      <c r="H17" s="593" t="n">
        <f aca="false">H16/H10</f>
        <v>0.678347755204308</v>
      </c>
      <c r="I17" s="593" t="n">
        <f aca="false">I16/I10</f>
        <v>0.682179203419912</v>
      </c>
      <c r="J17" s="593" t="n">
        <f aca="false">J16/J10</f>
        <v>0.685828201720487</v>
      </c>
      <c r="K17" s="6"/>
    </row>
    <row r="18" customFormat="false" ht="15" hidden="false" customHeight="true" outlineLevel="0" collapsed="false">
      <c r="B18" s="6"/>
      <c r="K18" s="6"/>
    </row>
    <row r="19" customFormat="false" ht="21.75" hidden="false" customHeight="true" outlineLevel="0" collapsed="false">
      <c r="B19" s="96" t="s">
        <v>4987</v>
      </c>
      <c r="C19" s="96"/>
      <c r="D19" s="96"/>
      <c r="E19" s="96"/>
      <c r="F19" s="96"/>
      <c r="G19" s="96"/>
      <c r="H19" s="96"/>
      <c r="I19" s="96"/>
      <c r="J19" s="96"/>
      <c r="K19" s="96"/>
    </row>
    <row r="20" customFormat="false" ht="15" hidden="false" customHeight="true" outlineLevel="0" collapsed="false">
      <c r="B20" s="113" t="s">
        <v>4988</v>
      </c>
      <c r="C20" s="1292" t="n">
        <f aca="false">-350000*(C10/7219092)</f>
        <v>-46784.1107995299</v>
      </c>
      <c r="D20" s="1292" t="n">
        <f aca="false">-350000*(D10/7219092)</f>
        <v>-52632.1246494712</v>
      </c>
      <c r="E20" s="1292" t="n">
        <f aca="false">-350000*(E10/7219092)</f>
        <v>-58480.1384994124</v>
      </c>
      <c r="F20" s="1292" t="n">
        <f aca="false">-350000*(F10/7219092)</f>
        <v>-58480.1384994124</v>
      </c>
      <c r="G20" s="1292" t="n">
        <f aca="false">-350000*(G10/7219092)</f>
        <v>-61404.145424383</v>
      </c>
      <c r="H20" s="1292" t="n">
        <f aca="false">-350000*(H10/7219092)</f>
        <v>-64474.3526956022</v>
      </c>
      <c r="I20" s="1292" t="n">
        <f aca="false">-350000*(I10/7219092)</f>
        <v>-67698.0703303823</v>
      </c>
      <c r="J20" s="1292" t="n">
        <f aca="false">-350000*(J10/7219092)</f>
        <v>-71082.9738469014</v>
      </c>
      <c r="K20" s="6"/>
    </row>
    <row r="21" customFormat="false" ht="15" hidden="false" customHeight="true" outlineLevel="0" collapsed="false">
      <c r="B21" s="6"/>
      <c r="K21" s="6"/>
    </row>
    <row r="22" customFormat="false" ht="21.75" hidden="false" customHeight="true" outlineLevel="0" collapsed="false">
      <c r="B22" s="43" t="s">
        <v>4989</v>
      </c>
      <c r="C22" s="43"/>
      <c r="D22" s="43"/>
      <c r="E22" s="43"/>
      <c r="F22" s="43"/>
      <c r="G22" s="43"/>
      <c r="H22" s="43"/>
      <c r="I22" s="43"/>
      <c r="J22" s="43"/>
      <c r="K22" s="43"/>
    </row>
    <row r="23" customFormat="false" ht="21.75" hidden="false" customHeight="true" outlineLevel="0" collapsed="false">
      <c r="B23" s="117" t="s">
        <v>4990</v>
      </c>
      <c r="C23" s="1293" t="n">
        <f aca="false">C16+C20</f>
        <v>578441.48920047</v>
      </c>
      <c r="D23" s="1293" t="n">
        <f aca="false">D16+D20</f>
        <v>664121.675350529</v>
      </c>
      <c r="E23" s="1293" t="n">
        <f aca="false">E16+E20</f>
        <v>749801.861500588</v>
      </c>
      <c r="F23" s="1293" t="n">
        <f aca="false">F16+F20</f>
        <v>749801.861500588</v>
      </c>
      <c r="G23" s="1293" t="n">
        <f aca="false">G16+G20</f>
        <v>792641.954575617</v>
      </c>
      <c r="H23" s="1293" t="n">
        <f aca="false">H16+H20</f>
        <v>837624.052304398</v>
      </c>
      <c r="I23" s="1293" t="n">
        <f aca="false">I16+I20</f>
        <v>884855.254919618</v>
      </c>
      <c r="J23" s="1293" t="n">
        <f aca="false">J16+J20</f>
        <v>934448.017665599</v>
      </c>
      <c r="K23" s="6"/>
    </row>
    <row r="24" customFormat="false" ht="15" hidden="false" customHeight="true" outlineLevel="0" collapsed="false">
      <c r="B24" s="128" t="s">
        <v>4991</v>
      </c>
      <c r="C24" s="593" t="n">
        <f aca="false">C23/C10</f>
        <v>0.599441110172016</v>
      </c>
      <c r="D24" s="593" t="n">
        <f aca="false">D23/D10</f>
        <v>0.611761610840317</v>
      </c>
      <c r="E24" s="593" t="n">
        <f aca="false">E23/E10</f>
        <v>0.621618011374958</v>
      </c>
      <c r="F24" s="593" t="n">
        <f aca="false">F23/F10</f>
        <v>0.621618011374958</v>
      </c>
      <c r="G24" s="593" t="n">
        <f aca="false">G23/G10</f>
        <v>0.625842183032661</v>
      </c>
      <c r="H24" s="593" t="n">
        <f aca="false">H23/H10</f>
        <v>0.629865203659045</v>
      </c>
      <c r="I24" s="593" t="n">
        <f aca="false">I23/I10</f>
        <v>0.633696651874648</v>
      </c>
      <c r="J24" s="593" t="n">
        <f aca="false">J23/J10</f>
        <v>0.637345650175224</v>
      </c>
      <c r="K24" s="6"/>
    </row>
    <row r="25" customFormat="false" ht="15" hidden="false" customHeight="true" outlineLevel="0" collapsed="false">
      <c r="B25" s="6"/>
      <c r="K25" s="6"/>
    </row>
    <row r="26" customFormat="false" ht="15" hidden="false" customHeight="true" outlineLevel="0" collapsed="false">
      <c r="B26" s="6"/>
      <c r="K26" s="6"/>
    </row>
    <row r="27" customFormat="false" ht="21.75" hidden="false" customHeight="true" outlineLevel="0" collapsed="false">
      <c r="B27" s="304" t="s">
        <v>4992</v>
      </c>
      <c r="C27" s="304"/>
      <c r="D27" s="304"/>
      <c r="E27" s="304"/>
      <c r="F27" s="304"/>
      <c r="G27" s="304"/>
      <c r="H27" s="304"/>
      <c r="I27" s="304"/>
      <c r="J27" s="304"/>
      <c r="K27" s="304"/>
    </row>
    <row r="28" customFormat="false" ht="120" hidden="false" customHeight="true" outlineLevel="0" collapsed="false">
      <c r="B28" s="85" t="s">
        <v>4993</v>
      </c>
      <c r="C28" s="85"/>
      <c r="D28" s="85"/>
      <c r="E28" s="85"/>
      <c r="F28" s="85"/>
      <c r="G28" s="85"/>
      <c r="H28" s="85"/>
      <c r="I28" s="85"/>
      <c r="J28" s="85"/>
      <c r="K28" s="6"/>
    </row>
    <row r="29" customFormat="false" ht="15" hidden="false" customHeight="true" outlineLevel="0" collapsed="false">
      <c r="B29" s="85"/>
      <c r="C29" s="85"/>
      <c r="D29" s="85"/>
      <c r="E29" s="85"/>
      <c r="F29" s="85"/>
      <c r="G29" s="85"/>
      <c r="H29" s="85"/>
      <c r="I29" s="85"/>
      <c r="J29" s="85"/>
      <c r="K29" s="6"/>
    </row>
    <row r="30" customFormat="false" ht="15" hidden="false" customHeight="true" outlineLevel="0" collapsed="false">
      <c r="B30" s="85"/>
      <c r="C30" s="85"/>
      <c r="D30" s="85"/>
      <c r="E30" s="85"/>
      <c r="F30" s="85"/>
      <c r="G30" s="85"/>
      <c r="H30" s="85"/>
      <c r="I30" s="85"/>
      <c r="J30" s="85"/>
      <c r="K30" s="6"/>
    </row>
    <row r="31" customFormat="false" ht="15" hidden="false" customHeight="true" outlineLevel="0" collapsed="false">
      <c r="B31" s="85"/>
      <c r="C31" s="85"/>
      <c r="D31" s="85"/>
      <c r="E31" s="85"/>
      <c r="F31" s="85"/>
      <c r="G31" s="85"/>
      <c r="H31" s="85"/>
      <c r="I31" s="85"/>
      <c r="J31" s="85"/>
      <c r="K31" s="6"/>
    </row>
  </sheetData>
  <mergeCells count="10">
    <mergeCell ref="B2:G2"/>
    <mergeCell ref="H2:K2"/>
    <mergeCell ref="B3:K3"/>
    <mergeCell ref="B5:K5"/>
    <mergeCell ref="B12:K12"/>
    <mergeCell ref="B15:K15"/>
    <mergeCell ref="B19:K19"/>
    <mergeCell ref="B22:K22"/>
    <mergeCell ref="B27:K27"/>
    <mergeCell ref="B28:J31"/>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K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10" min="3" style="0" width="11"/>
    <col collapsed="false" customWidth="true" hidden="false" outlineLevel="0" max="11" min="11" style="0" width="9"/>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4994</v>
      </c>
      <c r="C2" s="15"/>
      <c r="D2" s="15"/>
      <c r="E2" s="15"/>
      <c r="F2" s="15"/>
      <c r="G2" s="15"/>
      <c r="H2" s="89" t="s">
        <v>995</v>
      </c>
      <c r="I2" s="89"/>
      <c r="J2" s="89"/>
      <c r="K2" s="89"/>
    </row>
    <row r="3" customFormat="false" ht="18" hidden="false" customHeight="true" outlineLevel="0" collapsed="false">
      <c r="B3" s="90" t="s">
        <v>4995</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6" t="s">
        <v>4996</v>
      </c>
      <c r="C5" s="96"/>
      <c r="D5" s="96"/>
      <c r="E5" s="96"/>
      <c r="F5" s="96"/>
      <c r="G5" s="96"/>
      <c r="H5" s="96"/>
      <c r="I5" s="96"/>
      <c r="J5" s="96"/>
      <c r="K5" s="96"/>
    </row>
    <row r="6" customFormat="false" ht="21.75" hidden="false" customHeight="true" outlineLevel="0" collapsed="false">
      <c r="B6" s="97" t="s">
        <v>1141</v>
      </c>
      <c r="C6" s="98" t="s">
        <v>760</v>
      </c>
      <c r="D6" s="98" t="s">
        <v>908</v>
      </c>
      <c r="E6" s="98" t="s">
        <v>765</v>
      </c>
      <c r="F6" s="98" t="s">
        <v>770</v>
      </c>
      <c r="G6" s="98" t="s">
        <v>909</v>
      </c>
      <c r="H6" s="98" t="s">
        <v>910</v>
      </c>
      <c r="I6" s="98" t="s">
        <v>911</v>
      </c>
      <c r="J6" s="98" t="s">
        <v>912</v>
      </c>
      <c r="K6" s="6"/>
    </row>
    <row r="7" customFormat="false" ht="15" hidden="false" customHeight="true" outlineLevel="0" collapsed="false">
      <c r="B7" s="113" t="s">
        <v>2487</v>
      </c>
      <c r="C7" s="571" t="n">
        <f aca="false">'Events · 8-Year'!C11</f>
        <v>964968</v>
      </c>
      <c r="D7" s="571" t="n">
        <f aca="false">'Events · 8-Year'!D11</f>
        <v>1085589</v>
      </c>
      <c r="E7" s="571" t="n">
        <f aca="false">'Events · 8-Year'!E11</f>
        <v>1206210</v>
      </c>
      <c r="F7" s="571" t="n">
        <f aca="false">'Events · 8-Year'!F11</f>
        <v>1206210</v>
      </c>
      <c r="G7" s="571" t="n">
        <f aca="false">'Events · 8-Year'!G11</f>
        <v>1266520.5</v>
      </c>
      <c r="H7" s="571" t="n">
        <f aca="false">'Events · 8-Year'!H11</f>
        <v>1329846.525</v>
      </c>
      <c r="I7" s="571" t="n">
        <f aca="false">'Events · 8-Year'!I11</f>
        <v>1396338.85125</v>
      </c>
      <c r="J7" s="571" t="n">
        <f aca="false">'Events · 8-Year'!J11</f>
        <v>1466155.7938125</v>
      </c>
      <c r="K7" s="6"/>
    </row>
    <row r="8" customFormat="false" ht="15" hidden="false" customHeight="true" outlineLevel="0" collapsed="false">
      <c r="B8" s="113" t="s">
        <v>4997</v>
      </c>
      <c r="C8" s="1294" t="n">
        <f aca="false">'Events · 8-Year'!C20</f>
        <v>625225.6</v>
      </c>
      <c r="D8" s="1294" t="n">
        <f aca="false">'Events · 8-Year'!D20</f>
        <v>716753.8</v>
      </c>
      <c r="E8" s="1294" t="n">
        <f aca="false">'Events · 8-Year'!E20</f>
        <v>808282</v>
      </c>
      <c r="F8" s="1294" t="n">
        <f aca="false">'Events · 8-Year'!F20</f>
        <v>808282</v>
      </c>
      <c r="G8" s="1294" t="n">
        <f aca="false">'Events · 8-Year'!G20</f>
        <v>854046.1</v>
      </c>
      <c r="H8" s="1294" t="n">
        <f aca="false">'Events · 8-Year'!H20</f>
        <v>902098.405</v>
      </c>
      <c r="I8" s="1294" t="n">
        <f aca="false">'Events · 8-Year'!I20</f>
        <v>952553.32525</v>
      </c>
      <c r="J8" s="1294" t="n">
        <f aca="false">'Events · 8-Year'!J20</f>
        <v>1005530.9915125</v>
      </c>
      <c r="K8" s="6"/>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6.5" hidden="false" customHeight="true" outlineLevel="0" collapsed="false">
      <c r="B11" s="113" t="s">
        <v>4998</v>
      </c>
      <c r="C11" s="1295" t="n">
        <v>0.005</v>
      </c>
      <c r="D11" s="565" t="s">
        <v>4999</v>
      </c>
      <c r="K11" s="6"/>
    </row>
    <row r="12" customFormat="false" ht="16.5" hidden="false" customHeight="true" outlineLevel="0" collapsed="false">
      <c r="B12" s="113" t="s">
        <v>5000</v>
      </c>
      <c r="C12" s="1000" t="n">
        <v>30</v>
      </c>
      <c r="D12" s="565" t="s">
        <v>5001</v>
      </c>
      <c r="K12" s="6"/>
    </row>
    <row r="13" customFormat="false" ht="16.5" hidden="false" customHeight="true" outlineLevel="0" collapsed="false">
      <c r="B13" s="113" t="s">
        <v>5002</v>
      </c>
      <c r="C13" s="1000" t="n">
        <v>45</v>
      </c>
      <c r="D13" s="565" t="s">
        <v>5003</v>
      </c>
      <c r="K13" s="6"/>
    </row>
    <row r="14" customFormat="false" ht="16.5" hidden="false" customHeight="true" outlineLevel="0" collapsed="false">
      <c r="B14" s="113" t="s">
        <v>5004</v>
      </c>
      <c r="C14" s="1295" t="n">
        <v>0.5</v>
      </c>
      <c r="D14" s="565" t="s">
        <v>5005</v>
      </c>
      <c r="K14" s="6"/>
    </row>
    <row r="15" customFormat="false" ht="15" hidden="false" customHeight="true" outlineLevel="0" collapsed="false">
      <c r="B15" s="6"/>
      <c r="K15" s="6"/>
    </row>
    <row r="16" customFormat="false" ht="21.75" hidden="false" customHeight="true" outlineLevel="0" collapsed="false">
      <c r="B16" s="575" t="s">
        <v>5006</v>
      </c>
      <c r="C16" s="575"/>
      <c r="D16" s="575"/>
      <c r="E16" s="575"/>
      <c r="F16" s="575"/>
      <c r="G16" s="575"/>
      <c r="H16" s="575"/>
      <c r="I16" s="575"/>
      <c r="J16" s="575"/>
      <c r="K16" s="575"/>
    </row>
    <row r="17" customFormat="false" ht="15" hidden="false" customHeight="true" outlineLevel="0" collapsed="false">
      <c r="B17" s="113" t="s">
        <v>5007</v>
      </c>
      <c r="C17" s="720" t="n">
        <f aca="false">C7*$C$11</f>
        <v>4824.84</v>
      </c>
      <c r="D17" s="720" t="n">
        <f aca="false">D7*$C$11</f>
        <v>5427.945</v>
      </c>
      <c r="E17" s="720" t="n">
        <f aca="false">E7*$C$11</f>
        <v>6031.05</v>
      </c>
      <c r="F17" s="720" t="n">
        <f aca="false">F7*$C$11</f>
        <v>6031.05</v>
      </c>
      <c r="G17" s="720" t="n">
        <f aca="false">G7*$C$11</f>
        <v>6332.6025</v>
      </c>
      <c r="H17" s="720" t="n">
        <f aca="false">H7*$C$11</f>
        <v>6649.232625</v>
      </c>
      <c r="I17" s="720" t="n">
        <f aca="false">I7*$C$11</f>
        <v>6981.69425625</v>
      </c>
      <c r="J17" s="720" t="n">
        <f aca="false">J7*$C$11</f>
        <v>7330.7789690625</v>
      </c>
      <c r="K17" s="6"/>
    </row>
    <row r="18" customFormat="false" ht="15" hidden="false" customHeight="true" outlineLevel="0" collapsed="false">
      <c r="B18" s="113" t="s">
        <v>5008</v>
      </c>
      <c r="C18" s="720" t="n">
        <f aca="false">C7/365*$C$12</f>
        <v>79312.4383561644</v>
      </c>
      <c r="D18" s="720" t="n">
        <f aca="false">D7/365*$C$12</f>
        <v>89226.4931506849</v>
      </c>
      <c r="E18" s="720" t="n">
        <f aca="false">E7/365*$C$12</f>
        <v>99140.5479452055</v>
      </c>
      <c r="F18" s="720" t="n">
        <f aca="false">F7/365*$C$12</f>
        <v>99140.5479452055</v>
      </c>
      <c r="G18" s="720" t="n">
        <f aca="false">G7/365*$C$12</f>
        <v>104097.575342466</v>
      </c>
      <c r="H18" s="720" t="n">
        <f aca="false">H7/365*$C$12</f>
        <v>109302.454109589</v>
      </c>
      <c r="I18" s="720" t="n">
        <f aca="false">I7/365*$C$12</f>
        <v>114767.576815068</v>
      </c>
      <c r="J18" s="720" t="n">
        <f aca="false">J7/365*$C$12</f>
        <v>120505.955655822</v>
      </c>
      <c r="K18" s="6"/>
    </row>
    <row r="19" customFormat="false" ht="15" hidden="false" customHeight="true" outlineLevel="0" collapsed="false">
      <c r="B19" s="113" t="s">
        <v>5009</v>
      </c>
      <c r="C19" s="648" t="n">
        <f aca="false">(C7-C8)/365*$C$13</f>
        <v>41886.0493150685</v>
      </c>
      <c r="D19" s="648" t="n">
        <f aca="false">(D7-D8)/365*$C$13</f>
        <v>45472.8328767123</v>
      </c>
      <c r="E19" s="648" t="n">
        <f aca="false">(E7-E8)/365*$C$13</f>
        <v>49059.6164383562</v>
      </c>
      <c r="F19" s="648" t="n">
        <f aca="false">(F7-F8)/365*$C$13</f>
        <v>49059.6164383562</v>
      </c>
      <c r="G19" s="648" t="n">
        <f aca="false">(G7-G8)/365*$C$13</f>
        <v>50853.0082191781</v>
      </c>
      <c r="H19" s="648" t="n">
        <f aca="false">(H7-H8)/365*$C$13</f>
        <v>52736.0695890411</v>
      </c>
      <c r="I19" s="648" t="n">
        <f aca="false">(I7-I8)/365*$C$13</f>
        <v>54713.2840273973</v>
      </c>
      <c r="J19" s="648" t="n">
        <f aca="false">(J7-J8)/365*$C$13</f>
        <v>56789.3591876712</v>
      </c>
      <c r="K19" s="6"/>
    </row>
    <row r="20" customFormat="false" ht="15" hidden="false" customHeight="true" outlineLevel="0" collapsed="false">
      <c r="B20" s="113" t="s">
        <v>5010</v>
      </c>
      <c r="C20" s="648" t="n">
        <f aca="false">C7*$C$14*0.25</f>
        <v>120621</v>
      </c>
      <c r="D20" s="648" t="n">
        <f aca="false">D7*$C$14*0.25</f>
        <v>135698.625</v>
      </c>
      <c r="E20" s="648" t="n">
        <f aca="false">E7*$C$14*0.25</f>
        <v>150776.25</v>
      </c>
      <c r="F20" s="648" t="n">
        <f aca="false">F7*$C$14*0.25</f>
        <v>150776.25</v>
      </c>
      <c r="G20" s="648" t="n">
        <f aca="false">G7*$C$14*0.25</f>
        <v>158315.0625</v>
      </c>
      <c r="H20" s="648" t="n">
        <f aca="false">H7*$C$14*0.25</f>
        <v>166230.815625</v>
      </c>
      <c r="I20" s="648" t="n">
        <f aca="false">I7*$C$14*0.25</f>
        <v>174542.35640625</v>
      </c>
      <c r="J20" s="648" t="n">
        <f aca="false">J7*$C$14*0.25</f>
        <v>183269.474226563</v>
      </c>
      <c r="K20" s="6"/>
    </row>
    <row r="21" customFormat="false" ht="21.75" hidden="false" customHeight="true" outlineLevel="0" collapsed="false">
      <c r="B21" s="117" t="s">
        <v>5011</v>
      </c>
      <c r="C21" s="1291" t="n">
        <f aca="false">C17+C18-C19-C20</f>
        <v>-78369.7709589041</v>
      </c>
      <c r="D21" s="1291" t="n">
        <f aca="false">D17+D18-D19-D20</f>
        <v>-86517.0197260274</v>
      </c>
      <c r="E21" s="1291" t="n">
        <f aca="false">E17+E18-E19-E20</f>
        <v>-94664.2684931507</v>
      </c>
      <c r="F21" s="1291" t="n">
        <f aca="false">F17+F18-F19-F20</f>
        <v>-94664.2684931507</v>
      </c>
      <c r="G21" s="1291" t="n">
        <f aca="false">G17+G18-G19-G20</f>
        <v>-98737.8928767123</v>
      </c>
      <c r="H21" s="1291" t="n">
        <f aca="false">H17+H18-H19-H20</f>
        <v>-103015.198479452</v>
      </c>
      <c r="I21" s="1291" t="n">
        <f aca="false">I17+I18-I19-I20</f>
        <v>-107506.369362329</v>
      </c>
      <c r="J21" s="1291" t="n">
        <f aca="false">J17+J18-J19-J20</f>
        <v>-112222.098789349</v>
      </c>
      <c r="K21" s="6"/>
    </row>
    <row r="22" customFormat="false" ht="15" hidden="false" customHeight="true" outlineLevel="0" collapsed="false">
      <c r="B22" s="113" t="s">
        <v>5012</v>
      </c>
      <c r="C22" s="360" t="n">
        <f aca="false">C21</f>
        <v>-78369.7709589041</v>
      </c>
      <c r="D22" s="360" t="n">
        <f aca="false">D21-C21</f>
        <v>-8147.24876712327</v>
      </c>
      <c r="E22" s="360" t="n">
        <f aca="false">E21-D21</f>
        <v>-8147.2487671233</v>
      </c>
      <c r="F22" s="360" t="n">
        <f aca="false">F21-E21</f>
        <v>0</v>
      </c>
      <c r="G22" s="360" t="n">
        <f aca="false">G21-F21</f>
        <v>-4073.62438356166</v>
      </c>
      <c r="H22" s="360" t="n">
        <f aca="false">H21-G21</f>
        <v>-4277.30560273971</v>
      </c>
      <c r="I22" s="360" t="n">
        <f aca="false">I21-H21</f>
        <v>-4491.1708828767</v>
      </c>
      <c r="J22" s="360" t="n">
        <f aca="false">J21-I21</f>
        <v>-4715.72942702056</v>
      </c>
      <c r="K22" s="6"/>
    </row>
    <row r="23" customFormat="false" ht="15" hidden="false" customHeight="true" outlineLevel="0" collapsed="false">
      <c r="B23" s="6"/>
      <c r="K23" s="6"/>
    </row>
    <row r="24" customFormat="false" ht="15" hidden="false" customHeight="true" outlineLevel="0" collapsed="false">
      <c r="B24" s="6"/>
      <c r="K24" s="6"/>
    </row>
    <row r="25" customFormat="false" ht="21.75" hidden="false" customHeight="true" outlineLevel="0" collapsed="false">
      <c r="B25" s="72" t="s">
        <v>4123</v>
      </c>
      <c r="C25" s="72"/>
      <c r="D25" s="72"/>
      <c r="E25" s="72"/>
      <c r="F25" s="72"/>
      <c r="G25" s="72"/>
      <c r="H25" s="72"/>
      <c r="I25" s="72"/>
      <c r="J25" s="72"/>
      <c r="K25" s="72"/>
    </row>
    <row r="26" customFormat="false" ht="15" hidden="false" customHeight="true" outlineLevel="0" collapsed="false">
      <c r="B26" s="113" t="s">
        <v>5013</v>
      </c>
      <c r="C26" s="1294" t="n">
        <f aca="false">C8</f>
        <v>625225.6</v>
      </c>
      <c r="D26" s="1294" t="n">
        <f aca="false">D8</f>
        <v>716753.8</v>
      </c>
      <c r="E26" s="1294" t="n">
        <f aca="false">E8</f>
        <v>808282</v>
      </c>
      <c r="F26" s="1294" t="n">
        <f aca="false">F8</f>
        <v>808282</v>
      </c>
      <c r="G26" s="1294" t="n">
        <f aca="false">G8</f>
        <v>854046.1</v>
      </c>
      <c r="H26" s="1294" t="n">
        <f aca="false">H8</f>
        <v>902098.405</v>
      </c>
      <c r="I26" s="1294" t="n">
        <f aca="false">I8</f>
        <v>952553.32525</v>
      </c>
      <c r="J26" s="1294" t="n">
        <f aca="false">J8</f>
        <v>1005530.9915125</v>
      </c>
      <c r="K26" s="6"/>
    </row>
    <row r="27" customFormat="false" ht="15" hidden="false" customHeight="true" outlineLevel="0" collapsed="false">
      <c r="B27" s="113" t="s">
        <v>5014</v>
      </c>
      <c r="C27" s="360" t="n">
        <f aca="false">-C22</f>
        <v>78369.7709589041</v>
      </c>
      <c r="D27" s="360" t="n">
        <f aca="false">-D22</f>
        <v>8147.24876712327</v>
      </c>
      <c r="E27" s="360" t="n">
        <f aca="false">-E22</f>
        <v>8147.2487671233</v>
      </c>
      <c r="F27" s="360" t="n">
        <f aca="false">-F22</f>
        <v>-0</v>
      </c>
      <c r="G27" s="360" t="n">
        <f aca="false">-G22</f>
        <v>4073.62438356166</v>
      </c>
      <c r="H27" s="360" t="n">
        <f aca="false">-H22</f>
        <v>4277.30560273971</v>
      </c>
      <c r="I27" s="360" t="n">
        <f aca="false">-I22</f>
        <v>4491.1708828767</v>
      </c>
      <c r="J27" s="360" t="n">
        <f aca="false">-J22</f>
        <v>4715.72942702056</v>
      </c>
      <c r="K27" s="6"/>
    </row>
    <row r="28" customFormat="false" ht="15" hidden="false" customHeight="true" outlineLevel="0" collapsed="false">
      <c r="B28" s="126" t="s">
        <v>5015</v>
      </c>
      <c r="C28" s="360" t="n">
        <f aca="false">-C7*UNIVERSAL_DRIVERS!$C$32</f>
        <v>-28949.04</v>
      </c>
      <c r="D28" s="360" t="n">
        <f aca="false">-D7*UNIVERSAL_DRIVERS!$C$32</f>
        <v>-32567.67</v>
      </c>
      <c r="E28" s="360" t="n">
        <f aca="false">-E7*UNIVERSAL_DRIVERS!$C$32</f>
        <v>-36186.3</v>
      </c>
      <c r="F28" s="360" t="n">
        <f aca="false">-F7*UNIVERSAL_DRIVERS!$C$32</f>
        <v>-36186.3</v>
      </c>
      <c r="G28" s="360" t="n">
        <f aca="false">-G7*UNIVERSAL_DRIVERS!$C$32</f>
        <v>-37995.615</v>
      </c>
      <c r="H28" s="360" t="n">
        <f aca="false">-H7*UNIVERSAL_DRIVERS!$C$32</f>
        <v>-39895.39575</v>
      </c>
      <c r="I28" s="360" t="n">
        <f aca="false">-I7*UNIVERSAL_DRIVERS!$C$32</f>
        <v>-41890.1655375</v>
      </c>
      <c r="J28" s="360" t="n">
        <f aca="false">-J7*UNIVERSAL_DRIVERS!$C$32</f>
        <v>-43984.673814375</v>
      </c>
      <c r="K28" s="6"/>
    </row>
    <row r="29" customFormat="false" ht="24" hidden="false" customHeight="true" outlineLevel="0" collapsed="false">
      <c r="B29" s="117" t="s">
        <v>5016</v>
      </c>
      <c r="C29" s="1293" t="n">
        <f aca="false">C26+C27+C28</f>
        <v>674646.330958904</v>
      </c>
      <c r="D29" s="1293" t="n">
        <f aca="false">D26+D27+D28</f>
        <v>692333.378767123</v>
      </c>
      <c r="E29" s="1293" t="n">
        <f aca="false">E26+E27+E28</f>
        <v>780242.948767123</v>
      </c>
      <c r="F29" s="1293" t="n">
        <f aca="false">F26+F27+F28</f>
        <v>772095.7</v>
      </c>
      <c r="G29" s="1293" t="n">
        <f aca="false">G26+G27+G28</f>
        <v>820124.109383562</v>
      </c>
      <c r="H29" s="1293" t="n">
        <f aca="false">H26+H27+H28</f>
        <v>866480.31485274</v>
      </c>
      <c r="I29" s="1293" t="n">
        <f aca="false">I26+I27+I28</f>
        <v>915154.330595377</v>
      </c>
      <c r="J29" s="1293" t="n">
        <f aca="false">J26+J27+J28</f>
        <v>966262.047125146</v>
      </c>
      <c r="K29" s="6"/>
    </row>
  </sheetData>
  <mergeCells count="7">
    <mergeCell ref="B2:G2"/>
    <mergeCell ref="H2:K2"/>
    <mergeCell ref="B3:K3"/>
    <mergeCell ref="B5:K5"/>
    <mergeCell ref="B10:K10"/>
    <mergeCell ref="B16:K16"/>
    <mergeCell ref="B25:K25"/>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J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5017</v>
      </c>
      <c r="C2" s="878"/>
      <c r="D2" s="878"/>
      <c r="E2" s="878"/>
      <c r="F2" s="878"/>
      <c r="G2" s="89" t="s">
        <v>3432</v>
      </c>
      <c r="H2" s="89"/>
      <c r="I2" s="89"/>
      <c r="J2" s="89"/>
    </row>
    <row r="3" customFormat="false" ht="33.75" hidden="false" customHeight="true" outlineLevel="0" collapsed="false">
      <c r="B3" s="90" t="s">
        <v>5018</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575" t="s">
        <v>5019</v>
      </c>
      <c r="C5" s="575"/>
      <c r="D5" s="575"/>
      <c r="E5" s="575"/>
      <c r="F5" s="575"/>
      <c r="G5" s="575"/>
      <c r="H5" s="575"/>
    </row>
    <row r="6" customFormat="false" ht="18" hidden="false" customHeight="true" outlineLevel="0" collapsed="false">
      <c r="B6" s="113" t="s">
        <v>4805</v>
      </c>
      <c r="C6" s="1296" t="n">
        <f aca="false">'Events · Drivers'!C32*12</f>
        <v>132</v>
      </c>
      <c r="D6" s="565" t="s">
        <v>5020</v>
      </c>
      <c r="E6" s="6"/>
    </row>
    <row r="7" customFormat="false" ht="18" hidden="false" customHeight="true" outlineLevel="0" collapsed="false">
      <c r="B7" s="113" t="s">
        <v>5021</v>
      </c>
      <c r="C7" s="577" t="n">
        <f aca="false">'Events · Revenue'!E11/('Events · Drivers'!C32*12)</f>
        <v>8714.77272727273</v>
      </c>
      <c r="D7" s="565" t="s">
        <v>5022</v>
      </c>
      <c r="E7" s="6"/>
    </row>
    <row r="8" customFormat="false" ht="18" hidden="false" customHeight="true" outlineLevel="0" collapsed="false">
      <c r="B8" s="113" t="s">
        <v>5023</v>
      </c>
      <c r="C8" s="577" t="n">
        <f aca="false">'Events · Costs'!C20/('Events · Drivers'!C32*12)</f>
        <v>3014.60606060606</v>
      </c>
      <c r="D8" s="565" t="s">
        <v>5024</v>
      </c>
      <c r="E8" s="6"/>
    </row>
    <row r="9" customFormat="false" ht="18" hidden="false" customHeight="true" outlineLevel="0" collapsed="false">
      <c r="B9" s="113" t="s">
        <v>5025</v>
      </c>
      <c r="C9" s="577" t="n">
        <f aca="false">C7-C8</f>
        <v>5700.16666666667</v>
      </c>
      <c r="D9" s="565" t="s">
        <v>5026</v>
      </c>
      <c r="E9" s="6"/>
    </row>
    <row r="10" customFormat="false" ht="18" hidden="false" customHeight="true" outlineLevel="0" collapsed="false">
      <c r="B10" s="113" t="s">
        <v>5027</v>
      </c>
      <c r="C10" s="1297" t="n">
        <f aca="false">C9/C7</f>
        <v>0.654080931890294</v>
      </c>
      <c r="D10" s="565" t="s">
        <v>5028</v>
      </c>
      <c r="E10" s="6"/>
    </row>
    <row r="11" customFormat="false" ht="15" hidden="false" customHeight="true" outlineLevel="0" collapsed="false">
      <c r="B11" s="6"/>
      <c r="E11" s="6"/>
    </row>
    <row r="12" customFormat="false" ht="21.75" hidden="false" customHeight="true" outlineLevel="0" collapsed="false">
      <c r="B12" s="575" t="s">
        <v>5029</v>
      </c>
      <c r="C12" s="575"/>
      <c r="D12" s="575"/>
      <c r="E12" s="575"/>
      <c r="F12" s="575"/>
      <c r="G12" s="575"/>
      <c r="H12" s="575"/>
    </row>
    <row r="13" customFormat="false" ht="18" hidden="false" customHeight="true" outlineLevel="0" collapsed="false">
      <c r="B13" s="113" t="s">
        <v>5030</v>
      </c>
      <c r="C13" s="1296" t="n">
        <f aca="false">'Events · Drivers'!C27*12</f>
        <v>360</v>
      </c>
      <c r="D13" s="565" t="s">
        <v>5031</v>
      </c>
      <c r="E13" s="6"/>
    </row>
    <row r="14" customFormat="false" ht="18" hidden="false" customHeight="true" outlineLevel="0" collapsed="false">
      <c r="B14" s="113" t="s">
        <v>5032</v>
      </c>
      <c r="C14" s="1296" t="n">
        <f aca="false">'Events · Drivers'!C33*12</f>
        <v>132</v>
      </c>
      <c r="D14" s="565" t="s">
        <v>5033</v>
      </c>
      <c r="E14" s="6"/>
    </row>
    <row r="15" customFormat="false" ht="18" hidden="false" customHeight="true" outlineLevel="0" collapsed="false">
      <c r="B15" s="126" t="s">
        <v>5034</v>
      </c>
      <c r="C15" s="1296" t="n">
        <f aca="false">'Events · Drivers'!C34*12</f>
        <v>228</v>
      </c>
      <c r="D15" s="565" t="s">
        <v>5035</v>
      </c>
      <c r="E15" s="6"/>
    </row>
    <row r="16" customFormat="false" ht="18" hidden="false" customHeight="true" outlineLevel="0" collapsed="false">
      <c r="B16" s="113" t="s">
        <v>4590</v>
      </c>
      <c r="C16" s="1297" t="n">
        <f aca="false">'Events · Drivers'!C35</f>
        <v>0.366666666666667</v>
      </c>
      <c r="D16" s="565" t="s">
        <v>5036</v>
      </c>
      <c r="E16" s="6"/>
    </row>
    <row r="17" customFormat="false" ht="15" hidden="false" customHeight="true" outlineLevel="0" collapsed="false">
      <c r="B17" s="6"/>
      <c r="E17" s="6"/>
    </row>
    <row r="18" customFormat="false" ht="21.75" hidden="false" customHeight="true" outlineLevel="0" collapsed="false">
      <c r="B18" s="575" t="s">
        <v>5037</v>
      </c>
      <c r="C18" s="575"/>
      <c r="D18" s="575"/>
      <c r="E18" s="575"/>
      <c r="F18" s="575"/>
      <c r="G18" s="575"/>
      <c r="H18" s="575"/>
    </row>
    <row r="19" customFormat="false" ht="18" hidden="false" customHeight="true" outlineLevel="0" collapsed="false">
      <c r="B19" s="113" t="s">
        <v>5038</v>
      </c>
      <c r="C19" s="577" t="n">
        <f aca="false">'Events · Revenue'!E18</f>
        <v>1206210</v>
      </c>
      <c r="D19" s="565" t="s">
        <v>5039</v>
      </c>
      <c r="E19" s="6"/>
    </row>
    <row r="20" customFormat="false" ht="18" hidden="false" customHeight="true" outlineLevel="0" collapsed="false">
      <c r="B20" s="113" t="s">
        <v>4973</v>
      </c>
      <c r="C20" s="577" t="n">
        <f aca="false">'Events · Costs'!C20</f>
        <v>397928</v>
      </c>
      <c r="D20" s="565" t="s">
        <v>5040</v>
      </c>
      <c r="E20" s="6"/>
    </row>
    <row r="21" customFormat="false" ht="18" hidden="false" customHeight="true" outlineLevel="0" collapsed="false">
      <c r="B21" s="113" t="s">
        <v>4975</v>
      </c>
      <c r="C21" s="577" t="n">
        <f aca="false">'Events · Costs'!C33</f>
        <v>808282</v>
      </c>
      <c r="D21" s="565" t="s">
        <v>5041</v>
      </c>
      <c r="E21" s="6"/>
    </row>
    <row r="22" customFormat="false" ht="18" hidden="false" customHeight="true" outlineLevel="0" collapsed="false">
      <c r="B22" s="113" t="s">
        <v>4095</v>
      </c>
      <c r="C22" s="1297" t="n">
        <f aca="false">C21/C19</f>
        <v>0.670100562920221</v>
      </c>
      <c r="D22" s="565" t="s">
        <v>5042</v>
      </c>
      <c r="E22" s="6"/>
    </row>
    <row r="23" customFormat="false" ht="15" hidden="false" customHeight="true" outlineLevel="0" collapsed="false">
      <c r="B23" s="6"/>
      <c r="E23" s="6"/>
    </row>
    <row r="24" customFormat="false" ht="33.75" hidden="false" customHeight="true" outlineLevel="0" collapsed="false">
      <c r="B24" s="555" t="s">
        <v>5043</v>
      </c>
      <c r="C24" s="555"/>
      <c r="D24" s="555"/>
      <c r="E24" s="555"/>
      <c r="F24" s="555"/>
      <c r="G24" s="555"/>
      <c r="H24" s="555"/>
    </row>
    <row r="25" customFormat="false" ht="18" hidden="false" customHeight="true" outlineLevel="0" collapsed="false">
      <c r="B25" s="126" t="s">
        <v>5044</v>
      </c>
      <c r="C25" s="577" t="n">
        <f aca="false">'Events · Drivers'!C40</f>
        <v>346500</v>
      </c>
      <c r="D25" s="565" t="s">
        <v>5045</v>
      </c>
      <c r="E25" s="6"/>
    </row>
    <row r="26" customFormat="false" ht="18" hidden="false" customHeight="true" outlineLevel="0" collapsed="false">
      <c r="B26" s="113" t="s">
        <v>4895</v>
      </c>
      <c r="C26" s="1298" t="n">
        <f aca="false">'Events · Drivers'!C41</f>
        <v>33000</v>
      </c>
      <c r="D26" s="565" t="s">
        <v>5046</v>
      </c>
      <c r="E26" s="6"/>
    </row>
    <row r="27" customFormat="false" ht="18" hidden="false" customHeight="true" outlineLevel="0" collapsed="false">
      <c r="B27" s="126" t="s">
        <v>5047</v>
      </c>
      <c r="C27" s="577" t="n">
        <f aca="false">C26*0.05</f>
        <v>1650</v>
      </c>
      <c r="D27" s="565" t="s">
        <v>5048</v>
      </c>
      <c r="E27" s="6"/>
    </row>
  </sheetData>
  <mergeCells count="7">
    <mergeCell ref="B2:F2"/>
    <mergeCell ref="G2:J2"/>
    <mergeCell ref="B3:J3"/>
    <mergeCell ref="B5:H5"/>
    <mergeCell ref="B12:H12"/>
    <mergeCell ref="B18:H18"/>
    <mergeCell ref="B24:H24"/>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1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66" activeCellId="0" sqref="B66"/>
    </sheetView>
  </sheetViews>
  <sheetFormatPr defaultColWidth="8.83203125" defaultRowHeight="15" zeroHeight="false" outlineLevelRow="0" outlineLevelCol="0"/>
  <cols>
    <col collapsed="false" customWidth="true" hidden="false" outlineLevel="0" max="1" min="1" style="0" width="2"/>
    <col collapsed="false" customWidth="true" hidden="false" outlineLevel="0" max="2" min="2" style="0" width="56.83"/>
    <col collapsed="false" customWidth="true" hidden="false" outlineLevel="0" max="3" min="3" style="0" width="12"/>
    <col collapsed="false" customWidth="true" hidden="false" outlineLevel="0" max="4" min="4" style="0" width="13"/>
    <col collapsed="false" customWidth="true" hidden="false" outlineLevel="0" max="5" min="5" style="0" width="18.5"/>
    <col collapsed="false" customWidth="true" hidden="false" outlineLevel="0" max="6" min="6" style="0" width="28"/>
    <col collapsed="false" customWidth="true" hidden="false" outlineLevel="0" max="7" min="7" style="0" width="11"/>
  </cols>
  <sheetData>
    <row r="1" customFormat="false" ht="15" hidden="false" customHeight="true" outlineLevel="0" collapsed="false">
      <c r="B1" s="6"/>
      <c r="C1" s="6"/>
      <c r="G1" s="6"/>
    </row>
    <row r="2" customFormat="false" ht="27.75" hidden="false" customHeight="true" outlineLevel="0" collapsed="false">
      <c r="B2" s="221" t="s">
        <v>745</v>
      </c>
      <c r="C2" s="6"/>
      <c r="G2" s="6"/>
    </row>
    <row r="3" customFormat="false" ht="36" hidden="false" customHeight="true" outlineLevel="0" collapsed="false">
      <c r="B3" s="191" t="s">
        <v>746</v>
      </c>
      <c r="C3" s="6"/>
      <c r="G3" s="6"/>
    </row>
    <row r="4" customFormat="false" ht="15" hidden="false" customHeight="true" outlineLevel="0" collapsed="false">
      <c r="B4" s="6"/>
      <c r="C4" s="6"/>
      <c r="G4" s="6"/>
    </row>
    <row r="5" customFormat="false" ht="15.75" hidden="false" customHeight="true" outlineLevel="0" collapsed="false">
      <c r="B5" s="222" t="s">
        <v>747</v>
      </c>
      <c r="C5" s="6"/>
      <c r="G5" s="6"/>
    </row>
    <row r="6" customFormat="false" ht="15" hidden="false" customHeight="true" outlineLevel="0" collapsed="false">
      <c r="B6" s="6"/>
      <c r="C6" s="6"/>
      <c r="G6" s="6"/>
    </row>
    <row r="7" customFormat="false" ht="15" hidden="false" customHeight="true" outlineLevel="0" collapsed="false">
      <c r="B7" s="159" t="s">
        <v>748</v>
      </c>
      <c r="C7" s="159" t="s">
        <v>749</v>
      </c>
      <c r="D7" s="193" t="s">
        <v>750</v>
      </c>
      <c r="E7" s="193" t="s">
        <v>751</v>
      </c>
      <c r="F7" s="193" t="s">
        <v>752</v>
      </c>
      <c r="G7" s="159" t="s">
        <v>753</v>
      </c>
    </row>
    <row r="8" customFormat="false" ht="51" hidden="false" customHeight="true" outlineLevel="0" collapsed="false">
      <c r="B8" s="6" t="s">
        <v>754</v>
      </c>
      <c r="C8" s="6" t="s">
        <v>755</v>
      </c>
      <c r="D8" s="0" t="s">
        <v>756</v>
      </c>
      <c r="E8" s="236" t="n">
        <f aca="false">MASTER_ASSUMPTIONS!C14</f>
        <v>17377778</v>
      </c>
      <c r="F8" s="0" t="s">
        <v>757</v>
      </c>
      <c r="G8" s="6" t="str">
        <f aca="false">"Cash CapEx funding + opening capital (Total Project $"&amp;TEXT(CapEx!E54/1000000,"0.00")&amp;"M = $"&amp;TEXT(CapEx!E55/1000000,"0.00")&amp;"M Cash + $"&amp;TEXT(CapEx!E56/1000000,"0.00")&amp;"M contributed lessor)"</f>
        <v>Cash CapEx funding + opening capital (Total Project $28.28M = $19.09M Cash + $9.19M contributed lessor)</v>
      </c>
    </row>
    <row r="9" customFormat="false" ht="15" hidden="false" customHeight="true" outlineLevel="0" collapsed="false">
      <c r="B9" s="6" t="s">
        <v>758</v>
      </c>
      <c r="C9" s="6" t="s">
        <v>759</v>
      </c>
      <c r="D9" s="0" t="s">
        <v>760</v>
      </c>
      <c r="E9" s="236" t="n">
        <f aca="false">MASTER_ASSUMPTIONS!C19</f>
        <v>20000000</v>
      </c>
      <c r="F9" s="0" t="s">
        <v>761</v>
      </c>
      <c r="G9" s="6" t="s">
        <v>762</v>
      </c>
    </row>
    <row r="10" customFormat="false" ht="15" hidden="false" customHeight="true" outlineLevel="0" collapsed="false">
      <c r="B10" s="6" t="s">
        <v>763</v>
      </c>
      <c r="C10" s="6" t="s">
        <v>764</v>
      </c>
      <c r="D10" s="0" t="s">
        <v>765</v>
      </c>
      <c r="E10" s="236" t="n">
        <f aca="false">MASTER_ASSUMPTIONS!C26</f>
        <v>34549629.9942212</v>
      </c>
      <c r="F10" s="0" t="s">
        <v>766</v>
      </c>
      <c r="G10" s="6" t="s">
        <v>767</v>
      </c>
    </row>
    <row r="11" customFormat="false" ht="15" hidden="false" customHeight="true" outlineLevel="0" collapsed="false">
      <c r="B11" s="6" t="s">
        <v>768</v>
      </c>
      <c r="C11" s="6" t="s">
        <v>769</v>
      </c>
      <c r="D11" s="0" t="s">
        <v>770</v>
      </c>
      <c r="E11" s="142" t="s">
        <v>771</v>
      </c>
      <c r="F11" s="0" t="s">
        <v>772</v>
      </c>
      <c r="G11" s="6" t="s">
        <v>773</v>
      </c>
    </row>
    <row r="12" customFormat="false" ht="15" hidden="false" customHeight="true" outlineLevel="0" collapsed="false">
      <c r="B12" s="6"/>
      <c r="C12" s="6"/>
      <c r="G12" s="6"/>
    </row>
    <row r="13" customFormat="false" ht="15" hidden="false" customHeight="true" outlineLevel="0" collapsed="false">
      <c r="B13" s="6"/>
      <c r="C13" s="6"/>
      <c r="G13" s="6"/>
    </row>
    <row r="14" customFormat="false" ht="18" hidden="false" customHeight="true" outlineLevel="0" collapsed="false">
      <c r="B14" s="222" t="s">
        <v>774</v>
      </c>
      <c r="C14" s="6"/>
      <c r="G14" s="6"/>
    </row>
    <row r="15" customFormat="false" ht="15" hidden="false" customHeight="true" outlineLevel="0" collapsed="false">
      <c r="B15" s="6"/>
      <c r="C15" s="6"/>
      <c r="G15" s="6"/>
    </row>
    <row r="16" customFormat="false" ht="15" hidden="false" customHeight="true" outlineLevel="0" collapsed="false">
      <c r="B16" s="159" t="s">
        <v>748</v>
      </c>
      <c r="C16" s="159" t="s">
        <v>775</v>
      </c>
      <c r="D16" s="193" t="s">
        <v>776</v>
      </c>
      <c r="E16" s="193" t="s">
        <v>777</v>
      </c>
      <c r="F16" s="193" t="s">
        <v>778</v>
      </c>
      <c r="G16" s="6"/>
    </row>
    <row r="17" customFormat="false" ht="15" hidden="false" customHeight="true" outlineLevel="0" collapsed="false">
      <c r="B17" s="6" t="s">
        <v>779</v>
      </c>
      <c r="C17" s="237" t="n">
        <f aca="false">1-MASTER_ASSUMPTIONS!C15</f>
        <v>0.550000005754476</v>
      </c>
      <c r="D17" s="169" t="n">
        <f aca="false">MASTER_ASSUMPTIONS!C15</f>
        <v>0.449999994245524</v>
      </c>
      <c r="E17" s="162" t="n">
        <v>0</v>
      </c>
      <c r="F17" s="0" t="s">
        <v>780</v>
      </c>
      <c r="G17" s="6"/>
    </row>
    <row r="18" customFormat="false" ht="18" hidden="false" customHeight="true" outlineLevel="0" collapsed="false">
      <c r="B18" s="6" t="s">
        <v>781</v>
      </c>
      <c r="C18" s="237" t="n">
        <f aca="false">C17*(1-MASTER_ASSUMPTIONS!C20)</f>
        <v>0.368500003855499</v>
      </c>
      <c r="D18" s="169" t="n">
        <f aca="false">D17*(1-MASTER_ASSUMPTIONS!C20)</f>
        <v>0.301499996144501</v>
      </c>
      <c r="E18" s="169" t="n">
        <f aca="false">MASTER_ASSUMPTIONS!C20</f>
        <v>0.33</v>
      </c>
      <c r="F18" s="0" t="s">
        <v>782</v>
      </c>
      <c r="G18" s="6"/>
    </row>
    <row r="19" customFormat="false" ht="18" hidden="false" customHeight="true" outlineLevel="0" collapsed="false">
      <c r="B19" s="6" t="s">
        <v>783</v>
      </c>
      <c r="C19" s="237" t="n">
        <f aca="false">C17*(1-MASTER_ASSUMPTIONS!C20)</f>
        <v>0.368500003855499</v>
      </c>
      <c r="D19" s="169" t="n">
        <f aca="false">D17-MASTER_ASSUMPTIONS!C22</f>
        <v>0.375749995195013</v>
      </c>
      <c r="E19" s="161" t="n">
        <f aca="false">1-C19-D19</f>
        <v>0.255750000949489</v>
      </c>
      <c r="F19" s="0" t="s">
        <v>784</v>
      </c>
      <c r="G19" s="6"/>
    </row>
    <row r="20" customFormat="false" ht="18" hidden="false" customHeight="true" outlineLevel="0" collapsed="false">
      <c r="B20" s="6" t="s">
        <v>785</v>
      </c>
      <c r="C20" s="238" t="n">
        <v>0</v>
      </c>
      <c r="D20" s="162" t="n">
        <v>0</v>
      </c>
      <c r="E20" s="162" t="n">
        <v>1</v>
      </c>
      <c r="F20" s="0" t="s">
        <v>786</v>
      </c>
      <c r="G20" s="6"/>
    </row>
    <row r="21" customFormat="false" ht="15" hidden="false" customHeight="true" outlineLevel="0" collapsed="false">
      <c r="B21" s="6"/>
      <c r="C21" s="6"/>
      <c r="G21" s="6"/>
    </row>
    <row r="22" customFormat="false" ht="15" hidden="false" customHeight="true" outlineLevel="0" collapsed="false">
      <c r="B22" s="6"/>
      <c r="C22" s="6"/>
      <c r="G22" s="6"/>
    </row>
    <row r="23" customFormat="false" ht="36" hidden="false" customHeight="true" outlineLevel="0" collapsed="false">
      <c r="B23" s="222" t="s">
        <v>787</v>
      </c>
      <c r="C23" s="6"/>
      <c r="G23" s="6"/>
    </row>
    <row r="24" customFormat="false" ht="15" hidden="false" customHeight="true" outlineLevel="0" collapsed="false">
      <c r="B24" s="6"/>
      <c r="C24" s="6"/>
      <c r="G24" s="6"/>
    </row>
    <row r="25" customFormat="false" ht="18" hidden="false" customHeight="true" outlineLevel="0" collapsed="false">
      <c r="B25" s="159" t="s">
        <v>788</v>
      </c>
      <c r="C25" s="6"/>
      <c r="G25" s="6"/>
    </row>
    <row r="26" customFormat="false" ht="15" hidden="false" customHeight="true" outlineLevel="0" collapsed="false">
      <c r="B26" s="6" t="s">
        <v>789</v>
      </c>
      <c r="C26" s="6" t="s">
        <v>790</v>
      </c>
      <c r="D26" s="205" t="n">
        <f aca="false">-MASTER_ASSUMPTIONS!C13</f>
        <v>-7820000</v>
      </c>
      <c r="G26" s="6"/>
    </row>
    <row r="27" customFormat="false" ht="15" hidden="false" customHeight="true" outlineLevel="0" collapsed="false">
      <c r="B27" s="6" t="s">
        <v>791</v>
      </c>
      <c r="C27" s="6" t="s">
        <v>792</v>
      </c>
      <c r="D27" s="170" t="n">
        <f aca="false">MASTER_ASSUMPTIONS!C22*MASTER_ASSUMPTIONS!C19</f>
        <v>1484999.98101023</v>
      </c>
      <c r="G27" s="6"/>
    </row>
    <row r="28" customFormat="false" ht="36" hidden="false" customHeight="true" outlineLevel="0" collapsed="false">
      <c r="B28" s="6" t="s">
        <v>793</v>
      </c>
      <c r="C28" s="6" t="s">
        <v>794</v>
      </c>
      <c r="D28" s="215" t="n">
        <v>0</v>
      </c>
      <c r="G28" s="6"/>
    </row>
    <row r="29" customFormat="false" ht="15" hidden="false" customHeight="true" outlineLevel="0" collapsed="false">
      <c r="B29" s="6" t="s">
        <v>795</v>
      </c>
      <c r="C29" s="6" t="s">
        <v>796</v>
      </c>
      <c r="D29" s="215" t="n">
        <f aca="false">0.4*MASTER_ASSUMPTIONS!C15*'Consolidated 8Yr P&amp;L'!D35</f>
        <v>330524.470482134</v>
      </c>
      <c r="G29" s="6"/>
    </row>
    <row r="30" customFormat="false" ht="15" hidden="false" customHeight="true" outlineLevel="0" collapsed="false">
      <c r="B30" s="6" t="s">
        <v>797</v>
      </c>
      <c r="C30" s="6" t="s">
        <v>798</v>
      </c>
      <c r="D30" s="215" t="n">
        <f aca="false">0.4*MASTER_ASSUMPTIONS!C15*'Consolidated 8Yr P&amp;L'!E35</f>
        <v>388683.332464613</v>
      </c>
      <c r="G30" s="6"/>
    </row>
    <row r="31" customFormat="false" ht="66" hidden="false" customHeight="true" outlineLevel="0" collapsed="false">
      <c r="B31" s="6" t="s">
        <v>799</v>
      </c>
      <c r="C31" s="6" t="str">
        <f aca="false">"Sell 100% remaining ("&amp;TEXT(MASTER_ASSUMPTIONS!C15-MASTER_ASSUMPTIONS!C22,"0.00%")&amp;") at $"&amp;TEXT(MASTER_ASSUMPTIONS!C26/1000000,"0.0")&amp;"M IPO"</f>
        <v>Sell 100% remaining (37.57%) at $34.5M IPO</v>
      </c>
      <c r="D31" s="236" t="n">
        <f aca="false">(MASTER_ASSUMPTIONS!C15-MASTER_ASSUMPTIONS!C22)*MASTER_ASSUMPTIONS!C26</f>
        <v>12982023.3043181</v>
      </c>
      <c r="G31" s="6"/>
    </row>
    <row r="32" customFormat="false" ht="15" hidden="false" customHeight="true" outlineLevel="0" collapsed="false">
      <c r="B32" s="6"/>
      <c r="C32" s="6"/>
      <c r="G32" s="6"/>
    </row>
    <row r="33" customFormat="false" ht="15" hidden="false" customHeight="true" outlineLevel="0" collapsed="false">
      <c r="B33" s="159" t="s">
        <v>800</v>
      </c>
      <c r="C33" s="6"/>
      <c r="D33" s="198" t="n">
        <f aca="false">SUM(D27:D31)</f>
        <v>15186231.0882751</v>
      </c>
      <c r="G33" s="6"/>
    </row>
    <row r="34" customFormat="false" ht="15" hidden="false" customHeight="true" outlineLevel="0" collapsed="false">
      <c r="B34" s="6" t="s">
        <v>801</v>
      </c>
      <c r="C34" s="6"/>
      <c r="D34" s="225" t="n">
        <f aca="false">-D26</f>
        <v>7820000</v>
      </c>
      <c r="G34" s="6"/>
    </row>
    <row r="35" customFormat="false" ht="15" hidden="false" customHeight="true" outlineLevel="0" collapsed="false">
      <c r="B35" s="6" t="s">
        <v>802</v>
      </c>
      <c r="C35" s="6"/>
      <c r="D35" s="228" t="n">
        <f aca="false">D33/D34</f>
        <v>1.94197328494566</v>
      </c>
      <c r="G35" s="6"/>
    </row>
    <row r="36" customFormat="false" ht="15" hidden="false" customHeight="true" outlineLevel="0" collapsed="false">
      <c r="B36" s="6" t="s">
        <v>803</v>
      </c>
      <c r="C36" s="6"/>
      <c r="D36" s="231" t="n">
        <f aca="false">((D33/D34)^(1/3.5))-1</f>
        <v>0.20880212451708</v>
      </c>
      <c r="E36" s="0" t="s">
        <v>804</v>
      </c>
      <c r="G36" s="6"/>
    </row>
    <row r="37" customFormat="false" ht="15" hidden="false" customHeight="true" outlineLevel="0" collapsed="false">
      <c r="B37" s="6"/>
      <c r="C37" s="6"/>
      <c r="G37" s="6"/>
    </row>
    <row r="38" customFormat="false" ht="15" hidden="false" customHeight="true" outlineLevel="0" collapsed="false">
      <c r="B38" s="6"/>
      <c r="C38" s="6"/>
      <c r="G38" s="6"/>
    </row>
    <row r="39" customFormat="false" ht="33.75" hidden="false" customHeight="true" outlineLevel="0" collapsed="false">
      <c r="B39" s="159" t="s">
        <v>805</v>
      </c>
      <c r="C39" s="6"/>
      <c r="G39" s="6"/>
    </row>
    <row r="40" customFormat="false" ht="15" hidden="false" customHeight="true" outlineLevel="0" collapsed="false">
      <c r="B40" s="6"/>
      <c r="C40" s="6"/>
      <c r="G40" s="6"/>
    </row>
    <row r="41" customFormat="false" ht="15" hidden="false" customHeight="true" outlineLevel="0" collapsed="false">
      <c r="B41" s="6" t="s">
        <v>806</v>
      </c>
      <c r="C41" s="6"/>
      <c r="D41" s="205" t="n">
        <f aca="false">-MASTER_ASSUMPTIONS!C13</f>
        <v>-7820000</v>
      </c>
      <c r="G41" s="6"/>
    </row>
    <row r="42" customFormat="false" ht="15" hidden="false" customHeight="true" outlineLevel="0" collapsed="false">
      <c r="B42" s="6" t="s">
        <v>807</v>
      </c>
      <c r="C42" s="6" t="s">
        <v>808</v>
      </c>
      <c r="D42" s="170" t="n">
        <f aca="false">MASTER_ASSUMPTIONS!C21*MASTER_ASSUMPTIONS!C19</f>
        <v>2969999.96202046</v>
      </c>
      <c r="G42" s="6"/>
    </row>
    <row r="43" customFormat="false" ht="18" hidden="false" customHeight="true" outlineLevel="0" collapsed="false">
      <c r="B43" s="6" t="s">
        <v>809</v>
      </c>
      <c r="C43" s="6"/>
      <c r="D43" s="215" t="n">
        <v>100000</v>
      </c>
      <c r="G43" s="6"/>
    </row>
    <row r="44" customFormat="false" ht="66" hidden="false" customHeight="true" outlineLevel="0" collapsed="false">
      <c r="B44" s="6" t="s">
        <v>799</v>
      </c>
      <c r="C44" s="6" t="str">
        <f aca="false">"Sell remaining ("&amp;TEXT(MASTER_ASSUMPTIONS!C15-MASTER_ASSUMPTIONS!C21,"0.00%")&amp;") at $"&amp;TEXT(MASTER_ASSUMPTIONS!C26/1000000,"0.0")&amp;"M IPO"</f>
        <v>Sell remaining (30.15%) at $34.5M IPO</v>
      </c>
      <c r="D44" s="170" t="n">
        <f aca="false">(MASTER_ASSUMPTIONS!C15-MASTER_ASSUMPTIONS!C21)*MASTER_ASSUMPTIONS!C26</f>
        <v>10416713.3100516</v>
      </c>
      <c r="G44" s="6"/>
    </row>
    <row r="45" customFormat="false" ht="15" hidden="false" customHeight="true" outlineLevel="0" collapsed="false">
      <c r="B45" s="159" t="s">
        <v>810</v>
      </c>
      <c r="C45" s="6"/>
      <c r="D45" s="198" t="n">
        <f aca="false">SUM(D42:D44)</f>
        <v>13486713.2720721</v>
      </c>
      <c r="G45" s="6"/>
    </row>
    <row r="46" customFormat="false" ht="15" hidden="false" customHeight="true" outlineLevel="0" collapsed="false">
      <c r="B46" s="6" t="s">
        <v>802</v>
      </c>
      <c r="C46" s="6"/>
      <c r="D46" s="220" t="n">
        <f aca="false">D45/(-D41)</f>
        <v>1.72464364092994</v>
      </c>
      <c r="G46" s="6"/>
    </row>
    <row r="47" customFormat="false" ht="15" hidden="false" customHeight="true" outlineLevel="0" collapsed="false">
      <c r="B47" s="6" t="s">
        <v>811</v>
      </c>
      <c r="C47" s="6"/>
      <c r="D47" s="161" t="n">
        <f aca="false">((D45/(-D41))^(1/3.5))-1</f>
        <v>0.168499125857109</v>
      </c>
      <c r="G47" s="6"/>
    </row>
    <row r="48" customFormat="false" ht="15" hidden="false" customHeight="true" outlineLevel="0" collapsed="false">
      <c r="B48" s="6"/>
      <c r="C48" s="6"/>
      <c r="G48" s="6"/>
    </row>
    <row r="49" customFormat="false" ht="81" hidden="false" customHeight="true" outlineLevel="0" collapsed="false">
      <c r="B49" s="191" t="str">
        <f aca="false">"⊙ COUNTER-INTUITIVE: Mandatory-only outperforms Full sale on MOIC because Y3 exit at $"&amp;TEXT(MASTER_ASSUMPTIONS!C26/1000000,"0.0")&amp;"M is "&amp;TEXT(MASTER_ASSUMPTIONS!C26/MASTER_ASSUMPTIONS!C19,"0.0")&amp;"× Round 2 valuation. Holding for IPO multiplies the secondary residual."</f>
        <v>⊙ COUNTER-INTUITIVE: Mandatory-only outperforms Full sale on MOIC because Y3 exit at $34.5M is 1.7× Round 2 valuation. Holding for IPO multiplies the secondary residual.</v>
      </c>
      <c r="C49" s="6"/>
      <c r="G49" s="6"/>
    </row>
    <row r="50" customFormat="false" ht="15" hidden="false" customHeight="true" outlineLevel="0" collapsed="false">
      <c r="B50" s="6"/>
      <c r="C50" s="6"/>
      <c r="G50" s="6"/>
    </row>
    <row r="51" customFormat="false" ht="15" hidden="false" customHeight="true" outlineLevel="0" collapsed="false">
      <c r="B51" s="6"/>
      <c r="C51" s="6"/>
      <c r="G51" s="6"/>
    </row>
    <row r="52" customFormat="false" ht="36" hidden="false" customHeight="true" outlineLevel="0" collapsed="false">
      <c r="B52" s="222" t="s">
        <v>812</v>
      </c>
      <c r="C52" s="6"/>
      <c r="G52" s="6"/>
    </row>
    <row r="53" customFormat="false" ht="15" hidden="false" customHeight="true" outlineLevel="0" collapsed="false">
      <c r="B53" s="6"/>
      <c r="C53" s="6"/>
      <c r="G53" s="6"/>
    </row>
    <row r="54" customFormat="false" ht="36" hidden="false" customHeight="true" outlineLevel="0" collapsed="false">
      <c r="B54" s="6" t="str">
        <f aca="false">"Initial founder stake (paper value at $"&amp;TEXT(MASTER_ASSUMPTIONS!C14/1000000,"0.00")&amp;"M post-money)"</f>
        <v>Initial founder stake (paper value at $17.38M post-money)</v>
      </c>
      <c r="C54" s="6"/>
      <c r="D54" s="170" t="n">
        <f aca="false">(1-MASTER_ASSUMPTIONS!C15)*MASTER_ASSUMPTIONS!C14</f>
        <v>9557778</v>
      </c>
      <c r="G54" s="6"/>
    </row>
    <row r="55" customFormat="false" ht="36" hidden="false" customHeight="true" outlineLevel="0" collapsed="false">
      <c r="B55" s="6" t="s">
        <v>813</v>
      </c>
      <c r="C55" s="6" t="s">
        <v>814</v>
      </c>
      <c r="D55" s="170" t="n">
        <f aca="false">(1-MASTER_ASSUMPTIONS!C15)*MASTER_ASSUMPTIONS!C20*MASTER_ASSUMPTIONS!C19</f>
        <v>3630000.03797954</v>
      </c>
      <c r="G55" s="6"/>
    </row>
    <row r="56" customFormat="false" ht="66" hidden="false" customHeight="true" outlineLevel="0" collapsed="false">
      <c r="B56" s="6" t="s">
        <v>799</v>
      </c>
      <c r="C56" s="6" t="str">
        <f aca="false">"Sell remaining "&amp;TEXT(1-MASTER_ASSUMPTIONS!C15,"0.00%")&amp;" × "&amp;TEXT(1-MASTER_ASSUMPTIONS!C20,"0.00%")&amp;" of company at $"&amp;TEXT(MASTER_ASSUMPTIONS!C26/1000000,"0.0")&amp;"M IPO"</f>
        <v>Sell remaining 55.00% × 67.00% of company at $34.5M IPO</v>
      </c>
      <c r="D56" s="171" t="n">
        <f aca="false">(1-MASTER_ASSUMPTIONS!C15)*(1-MASTER_ASSUMPTIONS!C20)*MASTER_ASSUMPTIONS!C26</f>
        <v>12731538.7860766</v>
      </c>
      <c r="G56" s="6"/>
    </row>
    <row r="57" customFormat="false" ht="15" hidden="false" customHeight="true" outlineLevel="0" collapsed="false">
      <c r="B57" s="159" t="s">
        <v>815</v>
      </c>
      <c r="C57" s="6"/>
      <c r="D57" s="236" t="n">
        <f aca="false">D55+D56</f>
        <v>16361538.8240561</v>
      </c>
      <c r="G57" s="6"/>
    </row>
    <row r="58" customFormat="false" ht="51" hidden="false" customHeight="true" outlineLevel="0" collapsed="false">
      <c r="B58" s="191" t="s">
        <v>816</v>
      </c>
      <c r="C58" s="6"/>
      <c r="G58" s="6"/>
    </row>
    <row r="59" customFormat="false" ht="15" hidden="false" customHeight="true" outlineLevel="0" collapsed="false">
      <c r="B59" s="6"/>
      <c r="C59" s="6"/>
      <c r="G59" s="6"/>
    </row>
    <row r="60" customFormat="false" ht="15" hidden="false" customHeight="true" outlineLevel="0" collapsed="false">
      <c r="B60" s="6"/>
      <c r="C60" s="6"/>
      <c r="G60" s="6"/>
    </row>
    <row r="61" customFormat="false" ht="36" hidden="false" customHeight="true" outlineLevel="0" collapsed="false">
      <c r="B61" s="222" t="s">
        <v>817</v>
      </c>
      <c r="C61" s="6"/>
      <c r="G61" s="6"/>
    </row>
    <row r="62" customFormat="false" ht="15" hidden="false" customHeight="true" outlineLevel="0" collapsed="false">
      <c r="B62" s="6"/>
      <c r="C62" s="6"/>
      <c r="G62" s="6"/>
    </row>
    <row r="63" customFormat="false" ht="36" hidden="false" customHeight="true" outlineLevel="0" collapsed="false">
      <c r="B63" s="6" t="s">
        <v>818</v>
      </c>
      <c r="C63" s="6"/>
      <c r="G63" s="6"/>
    </row>
    <row r="64" customFormat="false" ht="36" hidden="false" customHeight="true" outlineLevel="0" collapsed="false">
      <c r="B64" s="6" t="s">
        <v>819</v>
      </c>
      <c r="C64" s="6"/>
      <c r="G64" s="6"/>
    </row>
    <row r="65" customFormat="false" ht="36" hidden="false" customHeight="true" outlineLevel="0" collapsed="false">
      <c r="B65" s="6" t="s">
        <v>820</v>
      </c>
      <c r="C65" s="6"/>
      <c r="G65" s="6"/>
    </row>
    <row r="66" customFormat="false" ht="36" hidden="false" customHeight="true" outlineLevel="0" collapsed="false">
      <c r="B66" s="6" t="s">
        <v>821</v>
      </c>
      <c r="C66" s="6"/>
      <c r="G66" s="6"/>
    </row>
    <row r="67" customFormat="false" ht="36" hidden="false" customHeight="true" outlineLevel="0" collapsed="false">
      <c r="B67" s="6" t="s">
        <v>822</v>
      </c>
      <c r="C67" s="6"/>
      <c r="G67" s="6"/>
    </row>
    <row r="68" customFormat="false" ht="36" hidden="false" customHeight="true" outlineLevel="0" collapsed="false">
      <c r="B68" s="6" t="s">
        <v>823</v>
      </c>
      <c r="C68" s="6"/>
      <c r="G68" s="6"/>
    </row>
    <row r="69" customFormat="false" ht="15" hidden="false" customHeight="true" outlineLevel="0" collapsed="false">
      <c r="B69" s="6"/>
      <c r="C69" s="6"/>
      <c r="G69" s="6"/>
    </row>
    <row r="70" customFormat="false" ht="18" hidden="false" customHeight="true" outlineLevel="0" collapsed="false">
      <c r="B70" s="159" t="s">
        <v>824</v>
      </c>
      <c r="C70" s="6"/>
      <c r="G70" s="6"/>
    </row>
    <row r="71" customFormat="false" ht="36" hidden="false" customHeight="true" outlineLevel="0" collapsed="false">
      <c r="B71" s="6" t="s">
        <v>825</v>
      </c>
      <c r="C71" s="6"/>
      <c r="G71" s="6"/>
    </row>
    <row r="72" customFormat="false" ht="36" hidden="false" customHeight="true" outlineLevel="0" collapsed="false">
      <c r="B72" s="6" t="s">
        <v>826</v>
      </c>
      <c r="C72" s="6"/>
      <c r="G72" s="6"/>
    </row>
    <row r="73" customFormat="false" ht="36" hidden="false" customHeight="true" outlineLevel="0" collapsed="false">
      <c r="B73" s="6" t="s">
        <v>827</v>
      </c>
      <c r="C73" s="6"/>
      <c r="G73" s="6"/>
    </row>
    <row r="74" customFormat="false" ht="36" hidden="false" customHeight="true" outlineLevel="0" collapsed="false">
      <c r="B74" s="6" t="s">
        <v>828</v>
      </c>
      <c r="C74" s="6"/>
      <c r="G74" s="6"/>
    </row>
    <row r="75" customFormat="false" ht="15" hidden="false" customHeight="true" outlineLevel="0" collapsed="false">
      <c r="B75" s="6"/>
      <c r="C75" s="6"/>
      <c r="G75" s="6"/>
    </row>
    <row r="76" customFormat="false" ht="15" hidden="false" customHeight="true" outlineLevel="0" collapsed="false">
      <c r="B76" s="6"/>
      <c r="C76" s="6"/>
      <c r="G76" s="6"/>
    </row>
    <row r="77" customFormat="false" ht="18" hidden="false" customHeight="true" outlineLevel="0" collapsed="false">
      <c r="B77" s="222" t="s">
        <v>829</v>
      </c>
      <c r="C77" s="6"/>
      <c r="G77" s="6"/>
    </row>
    <row r="78" customFormat="false" ht="15" hidden="false" customHeight="true" outlineLevel="0" collapsed="false">
      <c r="B78" s="6"/>
      <c r="C78" s="6"/>
      <c r="G78" s="6"/>
    </row>
    <row r="79" customFormat="false" ht="15" hidden="false" customHeight="true" outlineLevel="0" collapsed="false">
      <c r="B79" s="6" t="s">
        <v>830</v>
      </c>
      <c r="C79" s="6" t="s">
        <v>831</v>
      </c>
      <c r="D79" s="0" t="s">
        <v>832</v>
      </c>
      <c r="G79" s="6"/>
    </row>
    <row r="80" customFormat="false" ht="15" hidden="false" customHeight="true" outlineLevel="0" collapsed="false">
      <c r="B80" s="6" t="s">
        <v>833</v>
      </c>
      <c r="C80" s="239" t="n">
        <f aca="false">MASTER_ASSUMPTIONS!C27</f>
        <v>16</v>
      </c>
      <c r="D80" s="0" t="s">
        <v>834</v>
      </c>
      <c r="G80" s="6"/>
    </row>
    <row r="81" customFormat="false" ht="15" hidden="false" customHeight="true" outlineLevel="0" collapsed="false">
      <c r="B81" s="6" t="s">
        <v>835</v>
      </c>
      <c r="C81" s="194" t="n">
        <f aca="false">'Exit &amp; Returns'!E13</f>
        <v>2159351.87463882</v>
      </c>
      <c r="D81" s="0" t="s">
        <v>836</v>
      </c>
      <c r="G81" s="6"/>
    </row>
    <row r="82" customFormat="false" ht="18" hidden="false" customHeight="true" outlineLevel="0" collapsed="false">
      <c r="B82" s="6" t="s">
        <v>837</v>
      </c>
      <c r="C82" s="214" t="n">
        <f aca="false">C81*0.65</f>
        <v>1403578.71851524</v>
      </c>
      <c r="D82" s="0" t="s">
        <v>838</v>
      </c>
      <c r="G82" s="6"/>
    </row>
    <row r="83" customFormat="false" ht="18" hidden="false" customHeight="true" outlineLevel="0" collapsed="false">
      <c r="B83" s="6" t="s">
        <v>839</v>
      </c>
      <c r="C83" s="214" t="n">
        <f aca="false">C82*C80</f>
        <v>22457259.4962438</v>
      </c>
      <c r="D83" s="0" t="str">
        <f aca="false">"⊙ Aligns with $"&amp;TEXT(MASTER_ASSUMPTIONS!C26/1000000,"0.0")&amp;"M exit valuation (slight haircut from theoretical)"</f>
        <v>⊙ Aligns with $34.5M exit valuation (slight haircut from theoretical)</v>
      </c>
      <c r="G83" s="6"/>
    </row>
    <row r="84" customFormat="false" ht="15" hidden="false" customHeight="true" outlineLevel="0" collapsed="false">
      <c r="B84" s="6"/>
      <c r="C84" s="6"/>
      <c r="G84" s="6"/>
    </row>
    <row r="85" customFormat="false" ht="18" hidden="false" customHeight="true" outlineLevel="0" collapsed="false">
      <c r="B85" s="159" t="s">
        <v>840</v>
      </c>
      <c r="C85" s="6"/>
      <c r="G85" s="6"/>
    </row>
    <row r="86" customFormat="false" ht="15" hidden="false" customHeight="true" outlineLevel="0" collapsed="false">
      <c r="B86" s="6" t="s">
        <v>841</v>
      </c>
      <c r="C86" s="6" t="s">
        <v>842</v>
      </c>
      <c r="D86" s="0" t="s">
        <v>843</v>
      </c>
      <c r="G86" s="6"/>
    </row>
    <row r="87" customFormat="false" ht="15" hidden="false" customHeight="true" outlineLevel="0" collapsed="false">
      <c r="B87" s="6" t="s">
        <v>844</v>
      </c>
      <c r="C87" s="6" t="s">
        <v>845</v>
      </c>
      <c r="D87" s="0" t="s">
        <v>846</v>
      </c>
      <c r="G87" s="6"/>
    </row>
    <row r="88" customFormat="false" ht="15" hidden="false" customHeight="true" outlineLevel="0" collapsed="false">
      <c r="B88" s="6" t="s">
        <v>847</v>
      </c>
      <c r="C88" s="6" t="s">
        <v>848</v>
      </c>
      <c r="D88" s="0" t="s">
        <v>849</v>
      </c>
      <c r="G88" s="6"/>
    </row>
    <row r="89" customFormat="false" ht="15" hidden="false" customHeight="true" outlineLevel="0" collapsed="false">
      <c r="B89" s="6"/>
      <c r="C89" s="6"/>
      <c r="G89" s="6"/>
    </row>
    <row r="90" customFormat="false" ht="15" hidden="false" customHeight="true" outlineLevel="0" collapsed="false">
      <c r="B90" s="159" t="s">
        <v>850</v>
      </c>
      <c r="C90" s="6"/>
      <c r="G90" s="6"/>
    </row>
    <row r="91" customFormat="false" ht="36" hidden="false" customHeight="true" outlineLevel="0" collapsed="false">
      <c r="B91" s="6" t="s">
        <v>851</v>
      </c>
      <c r="C91" s="6"/>
      <c r="G91" s="6"/>
    </row>
    <row r="92" customFormat="false" ht="36" hidden="false" customHeight="true" outlineLevel="0" collapsed="false">
      <c r="B92" s="6" t="s">
        <v>852</v>
      </c>
      <c r="C92" s="6"/>
      <c r="G92" s="6"/>
    </row>
    <row r="93" customFormat="false" ht="66" hidden="false" customHeight="true" outlineLevel="0" collapsed="false">
      <c r="B93" s="6" t="s">
        <v>853</v>
      </c>
      <c r="C93" s="6"/>
      <c r="G93" s="6"/>
    </row>
    <row r="94" customFormat="false" ht="15" hidden="false" customHeight="true" outlineLevel="0" collapsed="false">
      <c r="B94" s="6"/>
      <c r="C94" s="6"/>
      <c r="G94" s="6"/>
    </row>
    <row r="95" customFormat="false" ht="15" hidden="false" customHeight="true" outlineLevel="0" collapsed="false">
      <c r="B95" s="6"/>
      <c r="C95" s="6"/>
      <c r="G95" s="6"/>
    </row>
    <row r="96" customFormat="false" ht="15.75" hidden="false" customHeight="true" outlineLevel="0" collapsed="false">
      <c r="B96" s="222" t="s">
        <v>854</v>
      </c>
      <c r="C96" s="6"/>
      <c r="G96" s="6"/>
    </row>
    <row r="97" customFormat="false" ht="15" hidden="false" customHeight="true" outlineLevel="0" collapsed="false">
      <c r="B97" s="6"/>
      <c r="C97" s="6"/>
      <c r="G97" s="6"/>
    </row>
    <row r="98" customFormat="false" ht="15" hidden="false" customHeight="true" outlineLevel="0" collapsed="false">
      <c r="B98" s="159" t="s">
        <v>855</v>
      </c>
      <c r="C98" s="6"/>
      <c r="G98" s="6"/>
    </row>
    <row r="99" customFormat="false" ht="51" hidden="false" customHeight="true" outlineLevel="0" collapsed="false">
      <c r="B99" s="6" t="s">
        <v>856</v>
      </c>
      <c r="C99" s="6"/>
      <c r="G99" s="6"/>
    </row>
    <row r="100" customFormat="false" ht="36" hidden="false" customHeight="true" outlineLevel="0" collapsed="false">
      <c r="B100" s="6" t="s">
        <v>857</v>
      </c>
      <c r="C100" s="6"/>
      <c r="G100" s="6"/>
    </row>
    <row r="101" customFormat="false" ht="51" hidden="false" customHeight="true" outlineLevel="0" collapsed="false">
      <c r="B101" s="6" t="s">
        <v>858</v>
      </c>
      <c r="C101" s="6"/>
      <c r="G101" s="6"/>
    </row>
    <row r="102" customFormat="false" ht="15" hidden="false" customHeight="true" outlineLevel="0" collapsed="false">
      <c r="B102" s="6"/>
      <c r="C102" s="6"/>
      <c r="G102" s="6"/>
    </row>
    <row r="103" customFormat="false" ht="15" hidden="false" customHeight="true" outlineLevel="0" collapsed="false">
      <c r="B103" s="159" t="s">
        <v>859</v>
      </c>
      <c r="C103" s="6"/>
      <c r="G103" s="6"/>
    </row>
    <row r="104" customFormat="false" ht="81" hidden="false" customHeight="true" outlineLevel="0" collapsed="false">
      <c r="B104" s="6" t="str">
        <f aca="false">"⊙ Y3 exit value $"&amp;TEXT(MASTER_ASSUMPTIONS!C26/1000000,"0.0")&amp;"M = "&amp;TEXT(MASTER_ASSUMPTIONS!C27,"0.0")&amp;"× Y3 EBITDA ("&amp;TEXT(MASTER_ASSUMPTIONS!C28/1000000,"0.00")&amp;"M). MENA stabilized FEC: 12-18×; pre-event premium acceptable up to 20×."</f>
        <v>⊙ Y3 exit value $34.5M = 16.0× Y3 EBITDA (2.16M). MENA stabilized FEC: 12-18×; pre-event premium acceptable up to 20×.</v>
      </c>
      <c r="C104" s="6"/>
      <c r="G104" s="6"/>
    </row>
    <row r="105" customFormat="false" ht="36" hidden="false" customHeight="true" outlineLevel="0" collapsed="false">
      <c r="B105" s="6" t="s">
        <v>860</v>
      </c>
      <c r="C105" s="6"/>
      <c r="G105" s="6"/>
    </row>
    <row r="106" customFormat="false" ht="36" hidden="false" customHeight="true" outlineLevel="0" collapsed="false">
      <c r="B106" s="6" t="s">
        <v>861</v>
      </c>
      <c r="C106" s="6"/>
      <c r="G106" s="6"/>
    </row>
    <row r="107" customFormat="false" ht="15" hidden="false" customHeight="true" outlineLevel="0" collapsed="false">
      <c r="B107" s="6"/>
      <c r="C107" s="6"/>
      <c r="G107" s="6"/>
    </row>
    <row r="108" customFormat="false" ht="15" hidden="false" customHeight="true" outlineLevel="0" collapsed="false">
      <c r="B108" s="159" t="s">
        <v>862</v>
      </c>
      <c r="C108" s="6"/>
      <c r="G108" s="6"/>
    </row>
    <row r="109" customFormat="false" ht="36" hidden="false" customHeight="true" outlineLevel="0" collapsed="false">
      <c r="B109" s="6" t="s">
        <v>863</v>
      </c>
      <c r="C109" s="6"/>
      <c r="G109" s="6"/>
    </row>
    <row r="110" customFormat="false" ht="36" hidden="false" customHeight="true" outlineLevel="0" collapsed="false">
      <c r="B110" s="6" t="s">
        <v>864</v>
      </c>
      <c r="C110" s="6"/>
      <c r="G110" s="6"/>
    </row>
    <row r="111" customFormat="false" ht="36" hidden="false" customHeight="true" outlineLevel="0" collapsed="false">
      <c r="B111" s="6" t="s">
        <v>865</v>
      </c>
      <c r="C111" s="6"/>
      <c r="G111" s="6"/>
    </row>
    <row r="112" customFormat="false" ht="15" hidden="false" customHeight="true" outlineLevel="0" collapsed="false">
      <c r="B112" s="6"/>
      <c r="C112" s="6"/>
      <c r="G112" s="6"/>
    </row>
    <row r="113" customFormat="false" ht="15" hidden="false" customHeight="true" outlineLevel="0" collapsed="false">
      <c r="B113" s="159" t="s">
        <v>866</v>
      </c>
      <c r="C113" s="6"/>
      <c r="G113" s="6"/>
    </row>
    <row r="114" customFormat="false" ht="36" hidden="false" customHeight="true" outlineLevel="0" collapsed="false">
      <c r="B114" s="6" t="s">
        <v>867</v>
      </c>
      <c r="C114" s="6"/>
      <c r="G114" s="6"/>
    </row>
    <row r="115" customFormat="false" ht="36" hidden="false" customHeight="true" outlineLevel="0" collapsed="false">
      <c r="B115" s="6" t="s">
        <v>868</v>
      </c>
      <c r="C115" s="6"/>
      <c r="G115" s="6"/>
    </row>
    <row r="116" customFormat="false" ht="36" hidden="false" customHeight="true" outlineLevel="0" collapsed="false">
      <c r="B116" s="6" t="s">
        <v>869</v>
      </c>
      <c r="C116" s="6"/>
      <c r="G116"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5049</v>
      </c>
      <c r="C3" s="90"/>
      <c r="D3" s="90"/>
      <c r="E3" s="90"/>
      <c r="F3" s="90"/>
      <c r="G3" s="90"/>
      <c r="H3" s="90"/>
      <c r="I3" s="90"/>
      <c r="J3" s="90"/>
    </row>
    <row r="4" customFormat="false" ht="15" hidden="false" customHeight="true" outlineLevel="0" collapsed="false">
      <c r="B4" s="6"/>
      <c r="E4" s="6"/>
    </row>
    <row r="5" customFormat="false" ht="33.75" hidden="false" customHeight="true" outlineLevel="0" collapsed="false">
      <c r="B5" s="96" t="s">
        <v>5050</v>
      </c>
      <c r="C5" s="96"/>
      <c r="D5" s="96"/>
      <c r="E5" s="96"/>
      <c r="F5" s="96"/>
      <c r="G5" s="96"/>
      <c r="H5" s="96"/>
    </row>
    <row r="6" customFormat="false" ht="15" hidden="false" customHeight="true" outlineLevel="0" collapsed="false">
      <c r="B6" s="6"/>
      <c r="E6" s="6"/>
    </row>
    <row r="7" customFormat="false" ht="18" hidden="false" customHeight="true" outlineLevel="0" collapsed="false">
      <c r="B7" s="113" t="s">
        <v>4971</v>
      </c>
      <c r="C7" s="1299" t="n">
        <f aca="false">'Events · Costs'!C23</f>
        <v>107000</v>
      </c>
      <c r="D7" s="565" t="s">
        <v>5051</v>
      </c>
      <c r="E7" s="6"/>
    </row>
    <row r="8" customFormat="false" ht="18" hidden="false" customHeight="true" outlineLevel="0" collapsed="false">
      <c r="B8" s="113" t="s">
        <v>5052</v>
      </c>
      <c r="C8" s="1300" t="n">
        <f aca="false">'Events · Costs'!C26</f>
        <v>0.241191832268013</v>
      </c>
      <c r="D8" s="565" t="s">
        <v>5053</v>
      </c>
      <c r="E8" s="6"/>
    </row>
    <row r="9" customFormat="false" ht="18" hidden="false" customHeight="true" outlineLevel="0" collapsed="false">
      <c r="B9" s="113" t="s">
        <v>5054</v>
      </c>
      <c r="C9" s="1300" t="n">
        <f aca="false">1-C8</f>
        <v>0.758808167731987</v>
      </c>
      <c r="D9" s="565" t="s">
        <v>5055</v>
      </c>
      <c r="E9" s="6"/>
    </row>
    <row r="10" customFormat="false" ht="15" hidden="false" customHeight="true" outlineLevel="0" collapsed="false">
      <c r="B10" s="6"/>
      <c r="E10" s="6"/>
    </row>
    <row r="11" customFormat="false" ht="18" hidden="false" customHeight="true" outlineLevel="0" collapsed="false">
      <c r="B11" s="81" t="s">
        <v>5056</v>
      </c>
      <c r="C11" s="406" t="n">
        <f aca="false">C7/C9</f>
        <v>141010.606567156</v>
      </c>
      <c r="D11" s="565" t="s">
        <v>5057</v>
      </c>
      <c r="E11" s="6"/>
    </row>
    <row r="12" customFormat="false" ht="18" hidden="false" customHeight="true" outlineLevel="0" collapsed="false">
      <c r="B12" s="113" t="s">
        <v>5058</v>
      </c>
      <c r="C12" s="1299" t="n">
        <f aca="false">'Events · Revenue'!E18</f>
        <v>1206210</v>
      </c>
      <c r="D12" s="565" t="s">
        <v>5059</v>
      </c>
      <c r="E12" s="6"/>
    </row>
    <row r="13" customFormat="false" ht="18" hidden="false" customHeight="true" outlineLevel="0" collapsed="false">
      <c r="B13" s="113" t="s">
        <v>5060</v>
      </c>
      <c r="C13" s="1300" t="n">
        <f aca="false">C12/C11-1</f>
        <v>7.55403738317757</v>
      </c>
      <c r="D13" s="565" t="s">
        <v>5061</v>
      </c>
      <c r="E13" s="6"/>
    </row>
    <row r="14" customFormat="false" ht="15" hidden="false" customHeight="true" outlineLevel="0" collapsed="false">
      <c r="B14" s="6"/>
      <c r="E14" s="6"/>
    </row>
    <row r="15" customFormat="false" ht="21.75" hidden="false" customHeight="true" outlineLevel="0" collapsed="false">
      <c r="B15" s="575" t="s">
        <v>5062</v>
      </c>
      <c r="C15" s="575"/>
      <c r="D15" s="575"/>
      <c r="E15" s="575"/>
      <c r="F15" s="575"/>
      <c r="G15" s="575"/>
      <c r="H15" s="575"/>
    </row>
    <row r="16" customFormat="false" ht="18" hidden="false" customHeight="true" outlineLevel="0" collapsed="false">
      <c r="B16" s="113" t="s">
        <v>5021</v>
      </c>
      <c r="C16" s="1299" t="n">
        <f aca="false">'Events · Unit Economics'!C7</f>
        <v>8714.77272727273</v>
      </c>
      <c r="D16" s="565" t="s">
        <v>5063</v>
      </c>
      <c r="E16" s="6"/>
    </row>
    <row r="17" customFormat="false" ht="18" hidden="false" customHeight="true" outlineLevel="0" collapsed="false">
      <c r="B17" s="81" t="s">
        <v>5064</v>
      </c>
      <c r="C17" s="1301" t="n">
        <f aca="false">C11/C16</f>
        <v>16.1806407327028</v>
      </c>
      <c r="D17" s="565" t="s">
        <v>5065</v>
      </c>
      <c r="E17" s="6"/>
    </row>
    <row r="18" customFormat="false" ht="18" hidden="false" customHeight="true" outlineLevel="0" collapsed="false">
      <c r="B18" s="113" t="s">
        <v>5066</v>
      </c>
      <c r="C18" s="1302" t="n">
        <f aca="false">'Events · Drivers'!C32*12</f>
        <v>132</v>
      </c>
      <c r="D18" s="565" t="s">
        <v>5067</v>
      </c>
      <c r="E18" s="6"/>
    </row>
    <row r="19" customFormat="false" ht="18" hidden="false" customHeight="true" outlineLevel="0" collapsed="false">
      <c r="B19" s="126" t="s">
        <v>5068</v>
      </c>
      <c r="C19" s="1302" t="n">
        <f aca="false">C18-C17</f>
        <v>115.819359267297</v>
      </c>
      <c r="D19" s="565" t="s">
        <v>5069</v>
      </c>
      <c r="E19" s="6"/>
    </row>
  </sheetData>
  <mergeCells count="5">
    <mergeCell ref="B2:F2"/>
    <mergeCell ref="G2:J2"/>
    <mergeCell ref="B3:J3"/>
    <mergeCell ref="B5:H5"/>
    <mergeCell ref="B15:H1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20"/>
    <col collapsed="false" customWidth="true" hidden="false" outlineLevel="0" max="11" min="7" style="0" width="12"/>
  </cols>
  <sheetData>
    <row r="1" customFormat="false" ht="3.75" hidden="false" customHeight="true" outlineLevel="0" collapsed="false">
      <c r="B1" s="1"/>
      <c r="C1" s="2"/>
      <c r="D1" s="2"/>
      <c r="E1" s="2"/>
      <c r="F1" s="1"/>
    </row>
    <row r="2" customFormat="false" ht="27.75" hidden="false" customHeight="true" outlineLevel="0" collapsed="false">
      <c r="B2" s="88" t="s">
        <v>5070</v>
      </c>
      <c r="C2" s="88"/>
      <c r="D2" s="88"/>
      <c r="E2" s="88"/>
      <c r="F2" s="88"/>
    </row>
    <row r="3" customFormat="false" ht="18" hidden="false" customHeight="true" outlineLevel="0" collapsed="false">
      <c r="B3" s="90" t="s">
        <v>5071</v>
      </c>
      <c r="C3" s="90"/>
      <c r="D3" s="90"/>
      <c r="E3" s="90"/>
      <c r="F3" s="90"/>
    </row>
    <row r="4" customFormat="false" ht="15" hidden="false" customHeight="true" outlineLevel="0" collapsed="false">
      <c r="B4" s="6"/>
      <c r="F4" s="6"/>
    </row>
    <row r="5" customFormat="false" ht="33.75" hidden="false" customHeight="true" outlineLevel="0" collapsed="false">
      <c r="B5" s="96" t="s">
        <v>5072</v>
      </c>
      <c r="C5" s="96"/>
      <c r="D5" s="96"/>
      <c r="E5" s="96"/>
      <c r="F5" s="96"/>
    </row>
    <row r="6" customFormat="false" ht="21.75" hidden="false" customHeight="true" outlineLevel="0" collapsed="false">
      <c r="B6" s="97" t="s">
        <v>206</v>
      </c>
      <c r="C6" s="98" t="s">
        <v>5073</v>
      </c>
      <c r="D6" s="98" t="s">
        <v>5074</v>
      </c>
      <c r="E6" s="98" t="s">
        <v>5075</v>
      </c>
      <c r="F6" s="99" t="s">
        <v>778</v>
      </c>
    </row>
    <row r="7" customFormat="false" ht="18" hidden="false" customHeight="true" outlineLevel="0" collapsed="false">
      <c r="B7" s="113" t="s">
        <v>5076</v>
      </c>
      <c r="C7" s="480" t="n">
        <v>312</v>
      </c>
      <c r="D7" s="1303" t="n">
        <v>504</v>
      </c>
      <c r="E7" s="564" t="n">
        <f aca="false">C7/D7</f>
        <v>0.619047619047619</v>
      </c>
      <c r="F7" s="128" t="s">
        <v>5077</v>
      </c>
    </row>
    <row r="8" customFormat="false" ht="18" hidden="false" customHeight="true" outlineLevel="0" collapsed="false">
      <c r="B8" s="113" t="s">
        <v>5078</v>
      </c>
      <c r="C8" s="480" t="n">
        <v>150</v>
      </c>
      <c r="D8" s="1303" t="n">
        <v>250</v>
      </c>
      <c r="E8" s="564" t="n">
        <f aca="false">C8/D8</f>
        <v>0.6</v>
      </c>
      <c r="F8" s="128" t="s">
        <v>5079</v>
      </c>
    </row>
    <row r="9" customFormat="false" ht="18" hidden="false" customHeight="true" outlineLevel="0" collapsed="false">
      <c r="B9" s="113" t="s">
        <v>5080</v>
      </c>
      <c r="C9" s="480" t="n">
        <v>280</v>
      </c>
      <c r="D9" s="1303" t="n">
        <v>365</v>
      </c>
      <c r="E9" s="564" t="n">
        <f aca="false">C9/D9</f>
        <v>0.767123287671233</v>
      </c>
      <c r="F9" s="128" t="s">
        <v>5081</v>
      </c>
    </row>
    <row r="10" customFormat="false" ht="18" hidden="false" customHeight="true" outlineLevel="0" collapsed="false">
      <c r="B10" s="113" t="s">
        <v>5082</v>
      </c>
      <c r="C10" s="480" t="n">
        <v>6232</v>
      </c>
      <c r="D10" s="1303" t="n">
        <v>9000</v>
      </c>
      <c r="E10" s="564" t="n">
        <f aca="false">C10/D10</f>
        <v>0.692444444444444</v>
      </c>
      <c r="F10" s="128" t="s">
        <v>5083</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row>
    <row r="13" customFormat="false" ht="21.75" hidden="false" customHeight="true" outlineLevel="0" collapsed="false">
      <c r="B13" s="97" t="s">
        <v>738</v>
      </c>
      <c r="C13" s="98" t="s">
        <v>1306</v>
      </c>
      <c r="D13" s="98" t="s">
        <v>5084</v>
      </c>
      <c r="E13" s="98" t="s">
        <v>5085</v>
      </c>
      <c r="F13" s="99" t="s">
        <v>225</v>
      </c>
    </row>
    <row r="14" customFormat="false" ht="18" hidden="false" customHeight="true" outlineLevel="0" collapsed="false">
      <c r="B14" s="113" t="s">
        <v>5086</v>
      </c>
      <c r="C14" s="733" t="n">
        <v>1</v>
      </c>
      <c r="D14" s="1291" t="n">
        <f aca="false">'Events · Costs'!C31*1</f>
        <v>1206210</v>
      </c>
      <c r="E14" s="720" t="n">
        <f aca="false">('Events · Costs'!C31*1)-'Events · Costs'!C31</f>
        <v>0</v>
      </c>
      <c r="F14" s="128" t="s">
        <v>5087</v>
      </c>
    </row>
    <row r="15" customFormat="false" ht="18" hidden="false" customHeight="true" outlineLevel="0" collapsed="false">
      <c r="B15" s="113" t="s">
        <v>5088</v>
      </c>
      <c r="C15" s="733" t="n">
        <v>1.25</v>
      </c>
      <c r="D15" s="577" t="n">
        <f aca="false">'Events · Costs'!C31*1.25</f>
        <v>1507762.5</v>
      </c>
      <c r="E15" s="648" t="n">
        <f aca="false">('Events · Costs'!C31*1.25)-'Events · Costs'!C31</f>
        <v>301552.5</v>
      </c>
      <c r="F15" s="128" t="s">
        <v>5089</v>
      </c>
    </row>
    <row r="16" customFormat="false" ht="18" hidden="false" customHeight="true" outlineLevel="0" collapsed="false">
      <c r="B16" s="113" t="s">
        <v>5090</v>
      </c>
      <c r="C16" s="733" t="n">
        <v>1.5</v>
      </c>
      <c r="D16" s="577" t="n">
        <f aca="false">'Events · Costs'!C31*1.5</f>
        <v>1809315</v>
      </c>
      <c r="E16" s="648" t="n">
        <f aca="false">('Events · Costs'!C31*1.5)-'Events · Costs'!C31</f>
        <v>603105</v>
      </c>
      <c r="F16" s="128" t="s">
        <v>5091</v>
      </c>
    </row>
    <row r="17" customFormat="false" ht="18" hidden="false" customHeight="true" outlineLevel="0" collapsed="false">
      <c r="B17" s="113" t="s">
        <v>5092</v>
      </c>
      <c r="C17" s="733" t="n">
        <v>2</v>
      </c>
      <c r="D17" s="577" t="n">
        <f aca="false">'Events · Costs'!C31*2</f>
        <v>2412420</v>
      </c>
      <c r="E17" s="648" t="n">
        <f aca="false">('Events · Costs'!C31*2)-'Events · Costs'!C31</f>
        <v>1206210</v>
      </c>
      <c r="F17" s="128" t="s">
        <v>5093</v>
      </c>
    </row>
  </sheetData>
  <mergeCells count="4">
    <mergeCell ref="B2:F2"/>
    <mergeCell ref="B3:F3"/>
    <mergeCell ref="B5:F5"/>
    <mergeCell ref="B12:F12"/>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A1:I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6"/>
    <col collapsed="false" customWidth="true" hidden="false" outlineLevel="0" max="11" min="8" style="0" width="9"/>
  </cols>
  <sheetData>
    <row r="1" customFormat="false" ht="3.75" hidden="false" customHeight="true" outlineLevel="0" collapsed="false">
      <c r="A1" s="314"/>
      <c r="B1" s="315"/>
      <c r="C1" s="316"/>
      <c r="D1" s="316"/>
      <c r="E1" s="316"/>
      <c r="F1" s="1"/>
      <c r="G1" s="2"/>
      <c r="H1" s="2"/>
      <c r="I1" s="2"/>
    </row>
    <row r="2" customFormat="false" ht="27.75" hidden="false" customHeight="true" outlineLevel="0" collapsed="false">
      <c r="A2" s="314"/>
      <c r="B2" s="15" t="s">
        <v>5094</v>
      </c>
      <c r="C2" s="15"/>
      <c r="D2" s="15"/>
      <c r="E2" s="15"/>
      <c r="F2" s="15"/>
      <c r="G2" s="89" t="s">
        <v>995</v>
      </c>
      <c r="H2" s="89"/>
      <c r="I2" s="89"/>
    </row>
    <row r="3" customFormat="false" ht="33.75" hidden="false" customHeight="true" outlineLevel="0" collapsed="false">
      <c r="A3" s="314"/>
      <c r="B3" s="90" t="s">
        <v>5095</v>
      </c>
      <c r="C3" s="90"/>
      <c r="D3" s="90"/>
      <c r="E3" s="90"/>
      <c r="F3" s="90"/>
      <c r="G3" s="90"/>
      <c r="H3" s="90"/>
      <c r="I3" s="90"/>
    </row>
    <row r="4" customFormat="false" ht="15" hidden="false" customHeight="true" outlineLevel="0" collapsed="false">
      <c r="A4" s="314"/>
      <c r="B4" s="317"/>
      <c r="C4" s="314"/>
      <c r="D4" s="314"/>
      <c r="E4" s="314"/>
      <c r="F4" s="6"/>
    </row>
    <row r="5" customFormat="false" ht="21.75" hidden="false" customHeight="true" outlineLevel="0" collapsed="false">
      <c r="A5" s="314"/>
      <c r="B5" s="96" t="s">
        <v>5096</v>
      </c>
      <c r="C5" s="96"/>
      <c r="D5" s="96"/>
      <c r="E5" s="96"/>
      <c r="F5" s="96"/>
      <c r="G5" s="96"/>
      <c r="H5" s="96"/>
      <c r="I5" s="96"/>
    </row>
    <row r="6" customFormat="false" ht="21.75" hidden="false" customHeight="true" outlineLevel="0" collapsed="false">
      <c r="A6" s="314"/>
      <c r="B6" s="97" t="s">
        <v>3507</v>
      </c>
      <c r="C6" s="98" t="s">
        <v>4313</v>
      </c>
      <c r="D6" s="98" t="s">
        <v>4264</v>
      </c>
      <c r="E6" s="98" t="s">
        <v>2930</v>
      </c>
      <c r="F6" s="99" t="s">
        <v>4265</v>
      </c>
      <c r="G6" s="98" t="s">
        <v>4266</v>
      </c>
    </row>
    <row r="7" customFormat="false" ht="18" hidden="false" customHeight="true" outlineLevel="0" collapsed="false">
      <c r="A7" s="314"/>
      <c r="B7" s="113" t="s">
        <v>5097</v>
      </c>
      <c r="C7" s="541" t="n">
        <f aca="false">'Events · Drivers'!C32</f>
        <v>11</v>
      </c>
      <c r="D7" s="1304" t="s">
        <v>5098</v>
      </c>
      <c r="E7" s="1305" t="s">
        <v>4270</v>
      </c>
      <c r="F7" s="691" t="s">
        <v>5099</v>
      </c>
      <c r="G7" s="565" t="s">
        <v>5100</v>
      </c>
    </row>
    <row r="8" customFormat="false" ht="18" hidden="false" customHeight="true" outlineLevel="0" collapsed="false">
      <c r="A8" s="314"/>
      <c r="B8" s="113" t="s">
        <v>5101</v>
      </c>
      <c r="C8" s="1218" t="n">
        <f aca="false">'Events · Drivers'!C79</f>
        <v>0.319767441860465</v>
      </c>
      <c r="D8" s="1304" t="s">
        <v>5102</v>
      </c>
      <c r="E8" s="1305" t="s">
        <v>4270</v>
      </c>
      <c r="F8" s="691" t="s">
        <v>5099</v>
      </c>
      <c r="G8" s="565" t="s">
        <v>5103</v>
      </c>
    </row>
    <row r="9" customFormat="false" ht="18" hidden="false" customHeight="true" outlineLevel="0" collapsed="false">
      <c r="A9" s="314"/>
      <c r="B9" s="113" t="s">
        <v>5104</v>
      </c>
      <c r="C9" s="1306" t="str">
        <f aca="false">'Events · Drivers'!C78</f>
        <v>✓ Within capacity</v>
      </c>
      <c r="D9" s="1304" t="s">
        <v>5105</v>
      </c>
      <c r="E9" s="1305" t="s">
        <v>4270</v>
      </c>
      <c r="F9" s="691" t="s">
        <v>4298</v>
      </c>
      <c r="G9" s="565" t="s">
        <v>5106</v>
      </c>
    </row>
    <row r="10" customFormat="false" ht="18" hidden="false" customHeight="true" outlineLevel="0" collapsed="false">
      <c r="A10" s="314"/>
      <c r="B10" s="113" t="s">
        <v>5107</v>
      </c>
      <c r="C10" s="541" t="n">
        <v>90</v>
      </c>
      <c r="D10" s="1304" t="s">
        <v>5108</v>
      </c>
      <c r="E10" s="1305" t="s">
        <v>4287</v>
      </c>
      <c r="F10" s="691" t="s">
        <v>4275</v>
      </c>
      <c r="G10" s="565" t="s">
        <v>5109</v>
      </c>
    </row>
    <row r="11" customFormat="false" ht="18" hidden="false" customHeight="true" outlineLevel="0" collapsed="false">
      <c r="A11" s="314"/>
      <c r="B11" s="113" t="s">
        <v>5110</v>
      </c>
      <c r="C11" s="1218" t="n">
        <v>0.3</v>
      </c>
      <c r="D11" s="1304" t="s">
        <v>5111</v>
      </c>
      <c r="E11" s="1305" t="s">
        <v>4287</v>
      </c>
      <c r="F11" s="691" t="s">
        <v>4275</v>
      </c>
      <c r="G11" s="565" t="s">
        <v>5112</v>
      </c>
    </row>
    <row r="12" customFormat="false" ht="18" hidden="false" customHeight="true" outlineLevel="0" collapsed="false">
      <c r="A12" s="314"/>
      <c r="B12" s="113" t="s">
        <v>5113</v>
      </c>
      <c r="C12" s="1218" t="n">
        <v>0.95</v>
      </c>
      <c r="D12" s="1304" t="s">
        <v>5114</v>
      </c>
      <c r="E12" s="1305" t="s">
        <v>5115</v>
      </c>
      <c r="F12" s="691" t="s">
        <v>4298</v>
      </c>
      <c r="G12" s="565" t="s">
        <v>5116</v>
      </c>
    </row>
    <row r="13" customFormat="false" ht="18" hidden="false" customHeight="true" outlineLevel="0" collapsed="false">
      <c r="A13" s="314"/>
      <c r="B13" s="113" t="s">
        <v>4809</v>
      </c>
      <c r="C13" s="541" t="n">
        <f aca="false">'Events · Drivers'!C13</f>
        <v>212.5</v>
      </c>
      <c r="D13" s="1304" t="s">
        <v>5117</v>
      </c>
      <c r="E13" s="1305" t="s">
        <v>4287</v>
      </c>
      <c r="F13" s="691" t="s">
        <v>5099</v>
      </c>
      <c r="G13" s="565" t="s">
        <v>5118</v>
      </c>
    </row>
    <row r="14" customFormat="false" ht="15" hidden="false" customHeight="true" outlineLevel="0" collapsed="false">
      <c r="A14" s="314"/>
      <c r="B14" s="113" t="s">
        <v>5119</v>
      </c>
      <c r="C14" s="1218" t="n">
        <v>0.35</v>
      </c>
      <c r="D14" s="1304" t="s">
        <v>5120</v>
      </c>
      <c r="E14" s="1305" t="s">
        <v>4302</v>
      </c>
      <c r="F14" s="691" t="s">
        <v>4275</v>
      </c>
      <c r="G14" s="565" t="s">
        <v>5121</v>
      </c>
    </row>
    <row r="15" customFormat="false" ht="21.75" hidden="false" customHeight="true" outlineLevel="0" collapsed="false">
      <c r="A15" s="314"/>
      <c r="B15" s="113" t="s">
        <v>5122</v>
      </c>
      <c r="C15" s="541" t="n">
        <v>50</v>
      </c>
      <c r="D15" s="1304" t="s">
        <v>5123</v>
      </c>
      <c r="E15" s="1305" t="s">
        <v>5115</v>
      </c>
      <c r="F15" s="691" t="s">
        <v>5099</v>
      </c>
      <c r="G15" s="565" t="s">
        <v>5124</v>
      </c>
    </row>
    <row r="16" customFormat="false" ht="21.75" hidden="false" customHeight="true" outlineLevel="0" collapsed="false">
      <c r="A16" s="314"/>
      <c r="B16" s="113" t="s">
        <v>5125</v>
      </c>
      <c r="C16" s="541" t="n">
        <v>4.5</v>
      </c>
      <c r="D16" s="1304" t="s">
        <v>5126</v>
      </c>
      <c r="E16" s="1305" t="s">
        <v>4287</v>
      </c>
      <c r="F16" s="691" t="s">
        <v>4288</v>
      </c>
      <c r="G16" s="565" t="s">
        <v>5127</v>
      </c>
    </row>
    <row r="17" customFormat="false" ht="18" hidden="false" customHeight="true" outlineLevel="0" collapsed="false">
      <c r="A17" s="314"/>
      <c r="B17" s="113" t="s">
        <v>5128</v>
      </c>
      <c r="C17" s="1218" t="n">
        <v>0.05</v>
      </c>
      <c r="D17" s="1304" t="s">
        <v>5129</v>
      </c>
      <c r="E17" s="1305" t="s">
        <v>5115</v>
      </c>
      <c r="F17" s="691" t="s">
        <v>5099</v>
      </c>
      <c r="G17" s="565" t="s">
        <v>5130</v>
      </c>
    </row>
    <row r="18" customFormat="false" ht="18" hidden="false" customHeight="true" outlineLevel="0" collapsed="false">
      <c r="A18" s="314"/>
      <c r="B18" s="113" t="s">
        <v>5131</v>
      </c>
      <c r="C18" s="1218" t="n">
        <v>0.97</v>
      </c>
      <c r="D18" s="1304" t="s">
        <v>5132</v>
      </c>
      <c r="E18" s="1305" t="s">
        <v>5115</v>
      </c>
      <c r="F18" s="691" t="s">
        <v>5133</v>
      </c>
      <c r="G18" s="565" t="s">
        <v>5134</v>
      </c>
    </row>
    <row r="19" customFormat="false" ht="18" hidden="false" customHeight="true" outlineLevel="0" collapsed="false">
      <c r="A19" s="314"/>
      <c r="B19" s="113" t="s">
        <v>5135</v>
      </c>
      <c r="C19" s="547" t="n">
        <f aca="false">'Events · Revenue'!E22</f>
        <v>346500</v>
      </c>
      <c r="D19" s="1304" t="s">
        <v>5136</v>
      </c>
      <c r="E19" s="1305" t="s">
        <v>4287</v>
      </c>
      <c r="F19" s="691" t="s">
        <v>5137</v>
      </c>
      <c r="G19" s="565" t="s">
        <v>5138</v>
      </c>
    </row>
    <row r="20" customFormat="false" ht="18" hidden="false" customHeight="true" outlineLevel="0" collapsed="false">
      <c r="A20" s="314"/>
      <c r="B20" s="113" t="s">
        <v>4895</v>
      </c>
      <c r="C20" s="541" t="n">
        <f aca="false">'Events · Revenue'!E23</f>
        <v>33000</v>
      </c>
      <c r="D20" s="1304" t="s">
        <v>5139</v>
      </c>
      <c r="E20" s="1305" t="s">
        <v>4287</v>
      </c>
      <c r="F20" s="691" t="s">
        <v>5140</v>
      </c>
      <c r="G20" s="565" t="s">
        <v>5141</v>
      </c>
    </row>
    <row r="21" customFormat="false" ht="18" hidden="false" customHeight="true" outlineLevel="0" collapsed="false">
      <c r="A21" s="314"/>
      <c r="B21" s="113" t="s">
        <v>5142</v>
      </c>
      <c r="C21" s="547" t="n">
        <f aca="false">'Events · Revenue'!E14</f>
        <v>55860</v>
      </c>
      <c r="D21" s="1304" t="s">
        <v>5143</v>
      </c>
      <c r="E21" s="1305" t="s">
        <v>4302</v>
      </c>
      <c r="F21" s="691" t="s">
        <v>4275</v>
      </c>
      <c r="G21" s="565" t="s">
        <v>5144</v>
      </c>
    </row>
    <row r="22" customFormat="false" ht="15" hidden="false" customHeight="true" outlineLevel="0" collapsed="false">
      <c r="B22" s="6"/>
      <c r="F22" s="6"/>
    </row>
    <row r="23" customFormat="false" ht="21.75" hidden="false" customHeight="true" outlineLevel="0" collapsed="false">
      <c r="B23" s="575" t="s">
        <v>4312</v>
      </c>
      <c r="C23" s="575"/>
      <c r="D23" s="575"/>
      <c r="E23" s="575"/>
      <c r="F23" s="575"/>
      <c r="G23" s="575"/>
      <c r="H23" s="575"/>
      <c r="I23" s="575"/>
    </row>
    <row r="24" customFormat="false" ht="21.75" hidden="false" customHeight="true" outlineLevel="0" collapsed="false">
      <c r="B24" s="97" t="s">
        <v>3507</v>
      </c>
      <c r="C24" s="98" t="s">
        <v>4313</v>
      </c>
      <c r="D24" s="98" t="s">
        <v>4264</v>
      </c>
      <c r="E24" s="98" t="s">
        <v>2930</v>
      </c>
      <c r="F24" s="99" t="s">
        <v>4265</v>
      </c>
      <c r="G24" s="98" t="s">
        <v>1658</v>
      </c>
    </row>
    <row r="25" customFormat="false" ht="15" hidden="false" customHeight="true" outlineLevel="0" collapsed="false">
      <c r="B25" s="113" t="s">
        <v>5145</v>
      </c>
      <c r="C25" s="547" t="n">
        <f aca="false">'Events · Revenue'!E18/12</f>
        <v>100517.5</v>
      </c>
      <c r="D25" s="1304" t="s">
        <v>5146</v>
      </c>
      <c r="E25" s="1305" t="s">
        <v>4287</v>
      </c>
      <c r="F25" s="691" t="s">
        <v>4315</v>
      </c>
      <c r="G25" s="565" t="s">
        <v>89</v>
      </c>
    </row>
    <row r="26" customFormat="false" ht="15" hidden="false" customHeight="true" outlineLevel="0" collapsed="false">
      <c r="B26" s="113" t="s">
        <v>5147</v>
      </c>
      <c r="C26" s="547" t="n">
        <f aca="false">'Events · Costs'!C20/12</f>
        <v>33160.6666666667</v>
      </c>
      <c r="D26" s="1304" t="s">
        <v>5148</v>
      </c>
      <c r="E26" s="1305" t="s">
        <v>4287</v>
      </c>
      <c r="F26" s="691" t="s">
        <v>4315</v>
      </c>
      <c r="G26" s="565" t="s">
        <v>5149</v>
      </c>
    </row>
    <row r="27" customFormat="false" ht="15" hidden="false" customHeight="true" outlineLevel="0" collapsed="false">
      <c r="B27" s="113" t="s">
        <v>5150</v>
      </c>
      <c r="C27" s="547" t="n">
        <f aca="false">'Events · Costs'!C33/12</f>
        <v>67356.8333333333</v>
      </c>
      <c r="D27" s="1304" t="s">
        <v>5151</v>
      </c>
      <c r="E27" s="1305" t="s">
        <v>4287</v>
      </c>
      <c r="F27" s="691" t="s">
        <v>4315</v>
      </c>
      <c r="G27" s="565" t="s">
        <v>5152</v>
      </c>
    </row>
    <row r="28" customFormat="false" ht="15" hidden="false" customHeight="true" outlineLevel="0" collapsed="false">
      <c r="B28" s="113" t="s">
        <v>4387</v>
      </c>
      <c r="C28" s="1218" t="n">
        <f aca="false">'Events · Costs'!C34</f>
        <v>0.670100562920221</v>
      </c>
      <c r="D28" s="1304" t="s">
        <v>5153</v>
      </c>
      <c r="E28" s="1305" t="s">
        <v>4287</v>
      </c>
      <c r="F28" s="691" t="s">
        <v>4315</v>
      </c>
      <c r="G28" s="565" t="s">
        <v>5154</v>
      </c>
    </row>
    <row r="29" customFormat="false" ht="15" hidden="false" customHeight="true" outlineLevel="0" collapsed="false">
      <c r="B29" s="113" t="s">
        <v>5021</v>
      </c>
      <c r="C29" s="547" t="n">
        <f aca="false">'Events · Revenue'!E18/('Events · Drivers'!C32*12)</f>
        <v>9137.95454545455</v>
      </c>
      <c r="D29" s="1304" t="s">
        <v>5155</v>
      </c>
      <c r="E29" s="1305" t="s">
        <v>4287</v>
      </c>
      <c r="F29" s="691" t="s">
        <v>4315</v>
      </c>
      <c r="G29" s="565" t="s">
        <v>5156</v>
      </c>
    </row>
    <row r="30" customFormat="false" ht="15" hidden="false" customHeight="true" outlineLevel="0" collapsed="false">
      <c r="B30" s="113" t="s">
        <v>5157</v>
      </c>
      <c r="C30" s="547" t="n">
        <f aca="false">'Events · Costs'!C20/('Events · Drivers'!C32*12)</f>
        <v>3014.60606060606</v>
      </c>
      <c r="D30" s="1304" t="s">
        <v>5158</v>
      </c>
      <c r="E30" s="1305" t="s">
        <v>4287</v>
      </c>
      <c r="F30" s="691" t="s">
        <v>4315</v>
      </c>
      <c r="G30" s="565" t="s">
        <v>5159</v>
      </c>
    </row>
    <row r="31" customFormat="false" ht="15" hidden="false" customHeight="true" outlineLevel="0" collapsed="false">
      <c r="B31" s="113" t="s">
        <v>5160</v>
      </c>
      <c r="C31" s="1218" t="n">
        <f aca="false">('Events · Revenue'!E18-'Events · Costs'!C20)/('Events · Drivers'!C32*12)</f>
        <v>6123.34848484849</v>
      </c>
      <c r="D31" s="1304" t="s">
        <v>5161</v>
      </c>
      <c r="E31" s="1305" t="s">
        <v>4287</v>
      </c>
      <c r="F31" s="691" t="s">
        <v>4315</v>
      </c>
      <c r="G31" s="565" t="s">
        <v>5162</v>
      </c>
    </row>
    <row r="32" customFormat="false" ht="15" hidden="false" customHeight="true" outlineLevel="0" collapsed="false">
      <c r="B32" s="113" t="s">
        <v>5052</v>
      </c>
      <c r="C32" s="1218" t="n">
        <f aca="false">'Events · Costs'!C26</f>
        <v>0.241191832268013</v>
      </c>
      <c r="D32" s="1304" t="s">
        <v>5163</v>
      </c>
      <c r="E32" s="1305" t="s">
        <v>4302</v>
      </c>
      <c r="F32" s="691" t="s">
        <v>4315</v>
      </c>
      <c r="G32" s="565" t="s">
        <v>5164</v>
      </c>
    </row>
    <row r="33" customFormat="false" ht="15" hidden="false" customHeight="true" outlineLevel="0" collapsed="false">
      <c r="B33" s="113" t="s">
        <v>5165</v>
      </c>
      <c r="C33" s="1307" t="n">
        <f aca="false">'Events · Costs'!C33/'Events · Costs'!C23</f>
        <v>7.55403738317757</v>
      </c>
      <c r="D33" s="1304" t="s">
        <v>5166</v>
      </c>
      <c r="E33" s="1305" t="s">
        <v>4302</v>
      </c>
      <c r="F33" s="691" t="s">
        <v>4315</v>
      </c>
      <c r="G33" s="565" t="s">
        <v>5167</v>
      </c>
    </row>
    <row r="34" customFormat="false" ht="15" hidden="false" customHeight="true" outlineLevel="0" collapsed="false">
      <c r="B34" s="113" t="s">
        <v>5168</v>
      </c>
      <c r="C34" s="547" t="n">
        <f aca="false">'Events · Costs'!C33</f>
        <v>808282</v>
      </c>
      <c r="D34" s="1304" t="s">
        <v>5146</v>
      </c>
      <c r="E34" s="1305" t="s">
        <v>4302</v>
      </c>
      <c r="F34" s="691" t="s">
        <v>4315</v>
      </c>
      <c r="G34" s="565" t="s">
        <v>5169</v>
      </c>
    </row>
    <row r="35" customFormat="false" ht="15" hidden="false" customHeight="true" outlineLevel="0" collapsed="false">
      <c r="B35" s="113" t="s">
        <v>5170</v>
      </c>
      <c r="C35" s="1218" t="n">
        <f aca="false">'Events · 8-Year'!F11/'Events · 8-Year'!E11-1</f>
        <v>0</v>
      </c>
      <c r="D35" s="1304" t="s">
        <v>5171</v>
      </c>
      <c r="E35" s="1305" t="s">
        <v>4330</v>
      </c>
      <c r="F35" s="691" t="s">
        <v>4315</v>
      </c>
      <c r="G35" s="565" t="s">
        <v>5172</v>
      </c>
    </row>
    <row r="36" customFormat="false" ht="15" hidden="false" customHeight="true" outlineLevel="0" collapsed="false">
      <c r="B36" s="6"/>
      <c r="F36" s="6"/>
    </row>
    <row r="37" customFormat="false" ht="21.75" hidden="false" customHeight="true" outlineLevel="0" collapsed="false">
      <c r="B37" s="43" t="s">
        <v>5173</v>
      </c>
      <c r="C37" s="43"/>
      <c r="D37" s="43"/>
      <c r="E37" s="43"/>
      <c r="F37" s="43"/>
      <c r="G37" s="43"/>
      <c r="H37" s="43"/>
      <c r="I37" s="43"/>
    </row>
    <row r="38" customFormat="false" ht="120" hidden="false" customHeight="true" outlineLevel="0" collapsed="false">
      <c r="B38" s="602" t="s">
        <v>5174</v>
      </c>
      <c r="C38" s="602"/>
      <c r="D38" s="602"/>
      <c r="E38" s="602"/>
      <c r="F38" s="602"/>
      <c r="G38" s="602"/>
      <c r="H38" s="602"/>
      <c r="I38" s="602"/>
    </row>
  </sheetData>
  <mergeCells count="7">
    <mergeCell ref="B2:F2"/>
    <mergeCell ref="G2:I2"/>
    <mergeCell ref="B3:I3"/>
    <mergeCell ref="B5:I5"/>
    <mergeCell ref="B23:I23"/>
    <mergeCell ref="B37:I37"/>
    <mergeCell ref="B38:I3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J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917" t="s">
        <v>4334</v>
      </c>
      <c r="C2" s="917"/>
      <c r="D2" s="917"/>
      <c r="E2" s="917"/>
      <c r="F2" s="917"/>
      <c r="G2" s="89" t="s">
        <v>3432</v>
      </c>
      <c r="H2" s="89"/>
      <c r="I2" s="89"/>
      <c r="J2" s="89"/>
    </row>
    <row r="3" customFormat="false" ht="33.75" hidden="false" customHeight="true" outlineLevel="0" collapsed="false">
      <c r="B3" s="90" t="s">
        <v>5175</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4805</v>
      </c>
      <c r="C7" s="1308" t="n">
        <f aca="false">('Events · Drivers'!C7+'Events · Drivers'!C8+'Events · Drivers'!C9)*12</f>
        <v>133.2</v>
      </c>
      <c r="D7" s="1309" t="n">
        <f aca="false">('Events · Drivers'!D7+'Events · Drivers'!D8+'Events · Drivers'!D9)*12</f>
        <v>132</v>
      </c>
      <c r="E7" s="1310" t="n">
        <f aca="false">('Events · Drivers'!E7+'Events · Drivers'!E8+'Events · Drivers'!E9)*12</f>
        <v>145.2</v>
      </c>
      <c r="F7" s="6"/>
    </row>
    <row r="8" customFormat="false" ht="15" hidden="false" customHeight="true" outlineLevel="0" collapsed="false">
      <c r="B8" s="126" t="s">
        <v>5177</v>
      </c>
      <c r="C8" s="598" t="n">
        <f aca="false">('Events · Drivers'!C7*'Events · Drivers'!C10+'Events · Drivers'!C8*'Events · Drivers'!C11+'Events · Drivers'!C9*'Events · Drivers'!C12)*12</f>
        <v>866490</v>
      </c>
      <c r="D8" s="544" t="n">
        <f aca="false">('Events · Drivers'!D7*'Events · Drivers'!D10+'Events · Drivers'!D8*'Events · Drivers'!D11+'Events · Drivers'!D9*'Events · Drivers'!D12)*12</f>
        <v>1046400</v>
      </c>
      <c r="E8" s="1311" t="n">
        <f aca="false">('Events · Drivers'!E7*'Events · Drivers'!E10+'Events · Drivers'!E8*'Events · Drivers'!E11+'Events · Drivers'!E9*'Events · Drivers'!E12)*12</f>
        <v>1266144</v>
      </c>
      <c r="F8" s="692" t="n">
        <f aca="false">E8/C8</f>
        <v>1.46123325139355</v>
      </c>
    </row>
    <row r="9" customFormat="false" ht="15" hidden="false" customHeight="true" outlineLevel="0" collapsed="false">
      <c r="B9" s="126" t="s">
        <v>5178</v>
      </c>
      <c r="C9" s="598" t="n">
        <f aca="false">MAX(0,'Events · Drivers'!C27-MIN('Events · Drivers'!C7+'Events · Drivers'!C8+'Events · Drivers'!C9,'Events · Drivers'!C27))*'Events · Drivers'!C15*12*0.35</f>
        <v>47231.1</v>
      </c>
      <c r="D9" s="544" t="n">
        <f aca="false">MAX(0,'Events · Drivers'!C27-MIN('Events · Drivers'!D7+'Events · Drivers'!D8+'Events · Drivers'!D9,'Events · Drivers'!C27))*'Events · Drivers'!D15*12*0.35</f>
        <v>55860</v>
      </c>
      <c r="E9" s="1311" t="n">
        <f aca="false">MAX(0,'Events · Drivers'!C27-MIN('Events · Drivers'!E7+'Events · Drivers'!E8+'Events · Drivers'!E9,'Events · Drivers'!C27))*'Events · Drivers'!E15*12*0.35</f>
        <v>57888.6</v>
      </c>
      <c r="F9" s="692" t="n">
        <f aca="false">E9/C9</f>
        <v>1.22564581388111</v>
      </c>
    </row>
    <row r="10" customFormat="false" ht="15" hidden="false" customHeight="true" outlineLevel="0" collapsed="false">
      <c r="B10" s="113" t="s">
        <v>4983</v>
      </c>
      <c r="C10" s="1290" t="n">
        <f aca="false">C8+C9+('Events · Drivers'!C7+'Events · Drivers'!C8+'Events · Drivers'!C9)*'Events · Drivers'!C13*'Events · Drivers'!C14*12*0.3</f>
        <v>989507.7375</v>
      </c>
      <c r="D10" s="406" t="n">
        <f aca="false">D8+D9+('Events · Drivers'!D7+'Events · Drivers'!D8+'Events · Drivers'!D9)*'Events · Drivers'!D13*'Events · Drivers'!D14*12*0.3</f>
        <v>1206210</v>
      </c>
      <c r="E10" s="1312" t="n">
        <f aca="false">E8+E9+('Events · Drivers'!E7+'Events · Drivers'!E8+'Events · Drivers'!E9)*'Events · Drivers'!E13*'Events · Drivers'!E14*12*0.3</f>
        <v>1462390.05</v>
      </c>
      <c r="F10" s="692" t="n">
        <f aca="false">E10/C10</f>
        <v>1.477896528323</v>
      </c>
    </row>
    <row r="11" customFormat="false" ht="15" hidden="false" customHeight="true" outlineLevel="0" collapsed="false">
      <c r="B11" s="113" t="s">
        <v>4590</v>
      </c>
      <c r="C11" s="1313" t="n">
        <f aca="false">MIN('Events · Drivers'!C7+'Events · Drivers'!C8+'Events · Drivers'!C9,'Events · Drivers'!C27)/'Events · Drivers'!C27</f>
        <v>0.37</v>
      </c>
      <c r="D11" s="1314" t="n">
        <f aca="false">MIN('Events · Drivers'!D7+'Events · Drivers'!D8+'Events · Drivers'!D9,'Events · Drivers'!C27)/'Events · Drivers'!C27</f>
        <v>0.366666666666667</v>
      </c>
      <c r="E11" s="1315" t="n">
        <f aca="false">MIN('Events · Drivers'!E7+'Events · Drivers'!E8+'Events · Drivers'!E9,'Events · Drivers'!C27)/'Events · Drivers'!C27</f>
        <v>0.403333333333333</v>
      </c>
      <c r="F11" s="6"/>
    </row>
    <row r="12" customFormat="false" ht="15" hidden="false" customHeight="true" outlineLevel="0" collapsed="false">
      <c r="B12" s="6"/>
      <c r="F12" s="6"/>
    </row>
    <row r="13" customFormat="false" ht="21.75" hidden="false" customHeight="true" outlineLevel="0" collapsed="false">
      <c r="B13" s="96" t="s">
        <v>2447</v>
      </c>
      <c r="C13" s="96"/>
      <c r="D13" s="96"/>
      <c r="E13" s="96"/>
      <c r="F13" s="96"/>
      <c r="G13" s="96"/>
      <c r="H13" s="96"/>
    </row>
    <row r="14" customFormat="false" ht="15" hidden="false" customHeight="true" outlineLevel="0" collapsed="false">
      <c r="B14" s="97" t="s">
        <v>738</v>
      </c>
      <c r="C14" s="98" t="s">
        <v>962</v>
      </c>
      <c r="D14" s="98" t="s">
        <v>207</v>
      </c>
      <c r="E14" s="98" t="s">
        <v>2448</v>
      </c>
      <c r="F14" s="6"/>
    </row>
    <row r="15" customFormat="false" ht="15" hidden="false" customHeight="true" outlineLevel="0" collapsed="false">
      <c r="B15" s="113" t="s">
        <v>2449</v>
      </c>
      <c r="C15" s="696" t="n">
        <v>0.2</v>
      </c>
      <c r="D15" s="1316" t="n">
        <f aca="false">C10</f>
        <v>989507.7375</v>
      </c>
      <c r="E15" s="544" t="n">
        <f aca="false">C15*D15</f>
        <v>197901.5475</v>
      </c>
      <c r="F15" s="6"/>
    </row>
    <row r="16" customFormat="false" ht="15" hidden="false" customHeight="true" outlineLevel="0" collapsed="false">
      <c r="B16" s="113" t="s">
        <v>2283</v>
      </c>
      <c r="C16" s="696" t="n">
        <v>0.55</v>
      </c>
      <c r="D16" s="1316" t="n">
        <f aca="false">D10</f>
        <v>1206210</v>
      </c>
      <c r="E16" s="544" t="n">
        <f aca="false">C16*D16</f>
        <v>663415.5</v>
      </c>
      <c r="F16" s="6"/>
    </row>
    <row r="17" customFormat="false" ht="15" hidden="false" customHeight="true" outlineLevel="0" collapsed="false">
      <c r="B17" s="113" t="s">
        <v>2450</v>
      </c>
      <c r="C17" s="696" t="n">
        <v>0.25</v>
      </c>
      <c r="D17" s="1316" t="n">
        <f aca="false">E10</f>
        <v>1462390.05</v>
      </c>
      <c r="E17" s="544" t="n">
        <f aca="false">C17*D17</f>
        <v>365597.5125</v>
      </c>
      <c r="F17" s="6"/>
    </row>
    <row r="18" customFormat="false" ht="15" hidden="false" customHeight="true" outlineLevel="0" collapsed="false">
      <c r="B18" s="592" t="s">
        <v>342</v>
      </c>
      <c r="C18" s="698" t="n">
        <f aca="false">SUM(C15:C17)</f>
        <v>1</v>
      </c>
      <c r="F18" s="6"/>
    </row>
    <row r="19" customFormat="false" ht="15" hidden="false" customHeight="true" outlineLevel="0" collapsed="false">
      <c r="B19" s="6"/>
      <c r="F19" s="6"/>
    </row>
    <row r="20" customFormat="false" ht="27.75" hidden="false" customHeight="true" outlineLevel="0" collapsed="false">
      <c r="B20" s="716" t="s">
        <v>5179</v>
      </c>
      <c r="E20" s="578" t="n">
        <f aca="false">SUM(E15:E17)</f>
        <v>1226914.56</v>
      </c>
      <c r="F20" s="6"/>
    </row>
  </sheetData>
  <mergeCells count="5">
    <mergeCell ref="B2:F2"/>
    <mergeCell ref="G2:J2"/>
    <mergeCell ref="B3:J3"/>
    <mergeCell ref="B5:H5"/>
    <mergeCell ref="B13:H13"/>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J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878" t="s">
        <v>5180</v>
      </c>
      <c r="C2" s="878"/>
      <c r="D2" s="878"/>
      <c r="E2" s="878"/>
      <c r="F2" s="878"/>
      <c r="G2" s="89" t="s">
        <v>3432</v>
      </c>
      <c r="H2" s="89"/>
      <c r="I2" s="89"/>
      <c r="J2" s="89"/>
    </row>
    <row r="3" customFormat="false" ht="48.75" hidden="false" customHeight="true" outlineLevel="0" collapsed="false">
      <c r="B3" s="90" t="s">
        <v>5181</v>
      </c>
      <c r="C3" s="90"/>
      <c r="D3" s="90"/>
      <c r="E3" s="90"/>
      <c r="F3" s="90"/>
      <c r="G3" s="90"/>
      <c r="H3" s="90"/>
      <c r="I3" s="90"/>
      <c r="J3" s="90"/>
    </row>
    <row r="4" customFormat="false" ht="15" hidden="false" customHeight="true" outlineLevel="0" collapsed="false">
      <c r="B4" s="6"/>
      <c r="F4" s="6"/>
    </row>
    <row r="5" customFormat="false" ht="33.75" hidden="false" customHeight="true" outlineLevel="0" collapsed="false">
      <c r="B5" s="96" t="s">
        <v>5182</v>
      </c>
      <c r="C5" s="96"/>
      <c r="D5" s="96"/>
      <c r="E5" s="96"/>
      <c r="F5" s="96"/>
      <c r="G5" s="96"/>
      <c r="H5" s="96"/>
    </row>
    <row r="6" customFormat="false" ht="15" hidden="false" customHeight="true" outlineLevel="0" collapsed="false">
      <c r="B6" s="6"/>
      <c r="F6" s="6"/>
    </row>
    <row r="7" customFormat="false" ht="19.5" hidden="false" customHeight="true" outlineLevel="0" collapsed="false">
      <c r="B7" s="97" t="s">
        <v>392</v>
      </c>
      <c r="C7" s="675" t="s">
        <v>2314</v>
      </c>
      <c r="D7" s="675" t="s">
        <v>2315</v>
      </c>
      <c r="E7" s="676" t="s">
        <v>608</v>
      </c>
      <c r="F7" s="1317" t="s">
        <v>2316</v>
      </c>
      <c r="G7" s="1318" t="s">
        <v>2317</v>
      </c>
    </row>
    <row r="8" customFormat="false" ht="120" hidden="false" customHeight="true" outlineLevel="0" collapsed="false">
      <c r="B8" s="113" t="s">
        <v>5097</v>
      </c>
      <c r="C8" s="360" t="n">
        <f aca="false">('Events · Drivers'!D7*UNIVERSAL_DRIVERS!$C$33*'Events · Drivers'!D10+'Events · Drivers'!D8*UNIVERSAL_DRIVERS!$C$33*'Events · Drivers'!D11+'Events · Drivers'!D9*UNIVERSAL_DRIVERS!$C$33*'Events · Drivers'!D12)*12+MAX(0,'Events · Drivers'!C27-MIN(('Events · Drivers'!D7*UNIVERSAL_DRIVERS!$C$33+'Events · Drivers'!D8*UNIVERSAL_DRIVERS!$C$33+'Events · Drivers'!D9*UNIVERSAL_DRIVERS!$C$33),'Events · Drivers'!C27))*'Events · Drivers'!D15*12</f>
        <v>1015200</v>
      </c>
      <c r="D8" s="1280" t="n">
        <f aca="false">('Events · Drivers'!D7*UNIVERSAL_DRIVERS!$C$34*'Events · Drivers'!D10+'Events · Drivers'!D8*UNIVERSAL_DRIVERS!$C$34*'Events · Drivers'!D11+'Events · Drivers'!D9*UNIVERSAL_DRIVERS!$C$34*'Events · Drivers'!D12)*12+MAX(0,'Events · Drivers'!C27-MIN(('Events · Drivers'!D7*UNIVERSAL_DRIVERS!$C$34+'Events · Drivers'!D8*UNIVERSAL_DRIVERS!$C$34+'Events · Drivers'!D9*UNIVERSAL_DRIVERS!$C$34),'Events · Drivers'!C27))*'Events · Drivers'!D15*12</f>
        <v>1110600</v>
      </c>
      <c r="E8" s="1319" t="n">
        <f aca="false">('Events · Drivers'!D7*1*'Events · Drivers'!D10+'Events · Drivers'!D8*1*'Events · Drivers'!D11+'Events · Drivers'!D9*1*'Events · Drivers'!D12)*12+MAX(0,'Events · Drivers'!C27-MIN(('Events · Drivers'!D7*1+'Events · Drivers'!D8*1+'Events · Drivers'!D9*1),'Events · Drivers'!C27))*'Events · Drivers'!D15*12</f>
        <v>1206000</v>
      </c>
      <c r="F8" s="1320" t="n">
        <f aca="false">('Events · Drivers'!D7*1.1*'Events · Drivers'!D10+'Events · Drivers'!D8*1.1*'Events · Drivers'!D11+'Events · Drivers'!D9*1.1*'Events · Drivers'!D12)*12+MAX(0,'Events · Drivers'!C27-MIN(('Events · Drivers'!D7*1.1+'Events · Drivers'!D8*1.1+'Events · Drivers'!D9*1.1),'Events · Drivers'!C27))*'Events · Drivers'!D15*12</f>
        <v>1301400</v>
      </c>
      <c r="G8" s="1321" t="n">
        <f aca="false">('Events · Drivers'!D7*1.2*'Events · Drivers'!D10+'Events · Drivers'!D8*1.2*'Events · Drivers'!D11+'Events · Drivers'!D9*1.2*'Events · Drivers'!D12)*12+MAX(0,'Events · Drivers'!C27-MIN(('Events · Drivers'!D7*1.2+'Events · Drivers'!D8*1.2+'Events · Drivers'!D9*1.2),'Events · Drivers'!C27))*'Events · Drivers'!D15*12</f>
        <v>1396800</v>
      </c>
    </row>
    <row r="9" customFormat="false" ht="120" hidden="false" customHeight="true" outlineLevel="0" collapsed="false">
      <c r="B9" s="113" t="s">
        <v>5183</v>
      </c>
      <c r="C9" s="360" t="n">
        <f aca="false">('Events · Drivers'!D7*'Events · Drivers'!D10*UNIVERSAL_DRIVERS!$C$33+'Events · Drivers'!D8*'Events · Drivers'!D11*UNIVERSAL_DRIVERS!$C$33+'Events · Drivers'!D9*'Events · Drivers'!D12*UNIVERSAL_DRIVERS!$C$33)*12+MAX(0,'Events · Drivers'!C27-MIN(('Events · Drivers'!D7+'Events · Drivers'!D8+'Events · Drivers'!D9),'Events · Drivers'!C27))*'Events · Drivers'!D15*12</f>
        <v>996720</v>
      </c>
      <c r="D9" s="1280" t="n">
        <f aca="false">('Events · Drivers'!D7*'Events · Drivers'!D10*UNIVERSAL_DRIVERS!$C$34+'Events · Drivers'!D8*'Events · Drivers'!D11*UNIVERSAL_DRIVERS!$C$34+'Events · Drivers'!D9*'Events · Drivers'!D12*UNIVERSAL_DRIVERS!$C$34)*12+MAX(0,'Events · Drivers'!C27-MIN(('Events · Drivers'!D7+'Events · Drivers'!D8+'Events · Drivers'!D9),'Events · Drivers'!C27))*'Events · Drivers'!D15*12</f>
        <v>1101360</v>
      </c>
      <c r="E9" s="1319" t="n">
        <f aca="false">('Events · Drivers'!D7*'Events · Drivers'!D10*1+'Events · Drivers'!D8*'Events · Drivers'!D11*1+'Events · Drivers'!D9*'Events · Drivers'!D12*1)*12+MAX(0,'Events · Drivers'!C27-MIN(('Events · Drivers'!D7+'Events · Drivers'!D8+'Events · Drivers'!D9),'Events · Drivers'!C27))*'Events · Drivers'!D15*12</f>
        <v>1206000</v>
      </c>
      <c r="F9" s="1320" t="n">
        <f aca="false">('Events · Drivers'!D7*'Events · Drivers'!D10*1.1+'Events · Drivers'!D8*'Events · Drivers'!D11*1.1+'Events · Drivers'!D9*'Events · Drivers'!D12*1.1)*12+MAX(0,'Events · Drivers'!C27-MIN(('Events · Drivers'!D7+'Events · Drivers'!D8+'Events · Drivers'!D9),'Events · Drivers'!C27))*'Events · Drivers'!D15*12</f>
        <v>1310640</v>
      </c>
      <c r="G9" s="1321" t="n">
        <f aca="false">('Events · Drivers'!D7*'Events · Drivers'!D10*1.2+'Events · Drivers'!D8*'Events · Drivers'!D11*1.2+'Events · Drivers'!D9*'Events · Drivers'!D12*1.2)*12+MAX(0,'Events · Drivers'!C27-MIN(('Events · Drivers'!D7+'Events · Drivers'!D8+'Events · Drivers'!D9),'Events · Drivers'!C27))*'Events · Drivers'!D15*12</f>
        <v>1415280</v>
      </c>
    </row>
    <row r="10" customFormat="false" ht="120" hidden="false" customHeight="true" outlineLevel="0" collapsed="false">
      <c r="B10" s="113" t="s">
        <v>5184</v>
      </c>
      <c r="C10" s="360" t="n">
        <f aca="false">('Events · Drivers'!D7*'Events · Drivers'!D10+'Events · Drivers'!D8*'Events · Drivers'!D11+'Events · Drivers'!D9*'Events · Drivers'!D12)*12+MAX(0,'Events · Drivers'!C27-MIN(('Events · Drivers'!D7+'Events · Drivers'!D8+'Events · Drivers'!D9),'Events · Drivers'!C27))*'Events · Drivers'!D15*UNIVERSAL_DRIVERS!$C$33*12</f>
        <v>1174080</v>
      </c>
      <c r="D10" s="1280" t="n">
        <f aca="false">('Events · Drivers'!D7*'Events · Drivers'!D10+'Events · Drivers'!D8*'Events · Drivers'!D11+'Events · Drivers'!D9*'Events · Drivers'!D12)*12+MAX(0,'Events · Drivers'!C27-MIN(('Events · Drivers'!D7+'Events · Drivers'!D8+'Events · Drivers'!D9),'Events · Drivers'!C27))*'Events · Drivers'!D15*UNIVERSAL_DRIVERS!$C$34*12</f>
        <v>1190040</v>
      </c>
      <c r="E10" s="1319" t="n">
        <f aca="false">('Events · Drivers'!D7*'Events · Drivers'!D10+'Events · Drivers'!D8*'Events · Drivers'!D11+'Events · Drivers'!D9*'Events · Drivers'!D12)*12+MAX(0,'Events · Drivers'!C27-MIN(('Events · Drivers'!D7+'Events · Drivers'!D8+'Events · Drivers'!D9),'Events · Drivers'!C27))*'Events · Drivers'!D15*1*12</f>
        <v>1206000</v>
      </c>
      <c r="F10" s="1320" t="n">
        <f aca="false">('Events · Drivers'!D7*'Events · Drivers'!D10+'Events · Drivers'!D8*'Events · Drivers'!D11+'Events · Drivers'!D9*'Events · Drivers'!D12)*12+MAX(0,'Events · Drivers'!C27-MIN(('Events · Drivers'!D7+'Events · Drivers'!D8+'Events · Drivers'!D9),'Events · Drivers'!C27))*'Events · Drivers'!D15*1.1*12</f>
        <v>1221960</v>
      </c>
      <c r="G10" s="1321" t="n">
        <f aca="false">('Events · Drivers'!D7*'Events · Drivers'!D10+'Events · Drivers'!D8*'Events · Drivers'!D11+'Events · Drivers'!D9*'Events · Drivers'!D12)*12+MAX(0,'Events · Drivers'!C27-MIN(('Events · Drivers'!D7+'Events · Drivers'!D8+'Events · Drivers'!D9),'Events · Drivers'!C27))*'Events · Drivers'!D15*1.2*12</f>
        <v>1237920</v>
      </c>
    </row>
    <row r="11" customFormat="false" ht="120" hidden="false" customHeight="true" outlineLevel="0" collapsed="false">
      <c r="B11" s="113" t="s">
        <v>5185</v>
      </c>
      <c r="C11" s="360" t="n">
        <f aca="false">('Events · Drivers'!D7*UNIVERSAL_DRIVERS!$C$33*'Events · Drivers'!D10+'Events · Drivers'!D8*'Events · Drivers'!D11+'Events · Drivers'!D9*'Events · Drivers'!D12)*12+MAX(0,'Events · Drivers'!C27-MIN(('Events · Drivers'!D7*UNIVERSAL_DRIVERS!$C$33+'Events · Drivers'!D8+'Events · Drivers'!D9),'Events · Drivers'!C27))*'Events · Drivers'!D15*12</f>
        <v>1079280</v>
      </c>
      <c r="D11" s="1280" t="n">
        <f aca="false">('Events · Drivers'!D7*UNIVERSAL_DRIVERS!$C$34*'Events · Drivers'!D10+'Events · Drivers'!D8*'Events · Drivers'!D11+'Events · Drivers'!D9*'Events · Drivers'!D12)*12+MAX(0,'Events · Drivers'!C27-MIN(('Events · Drivers'!D7*UNIVERSAL_DRIVERS!$C$34+'Events · Drivers'!D8+'Events · Drivers'!D9),'Events · Drivers'!C27))*'Events · Drivers'!D15*12</f>
        <v>1142640</v>
      </c>
      <c r="E11" s="1319" t="n">
        <f aca="false">('Events · Drivers'!D7*1*'Events · Drivers'!D10+'Events · Drivers'!D8*'Events · Drivers'!D11+'Events · Drivers'!D9*'Events · Drivers'!D12)*12+MAX(0,'Events · Drivers'!C27-MIN(('Events · Drivers'!D7*1+'Events · Drivers'!D8+'Events · Drivers'!D9),'Events · Drivers'!C27))*'Events · Drivers'!D15*12</f>
        <v>1206000</v>
      </c>
      <c r="F11" s="1320" t="n">
        <f aca="false">('Events · Drivers'!D7*1.1*'Events · Drivers'!D10+'Events · Drivers'!D8*'Events · Drivers'!D11+'Events · Drivers'!D9*'Events · Drivers'!D12)*12+MAX(0,'Events · Drivers'!C27-MIN(('Events · Drivers'!D7*1.1+'Events · Drivers'!D8+'Events · Drivers'!D9),'Events · Drivers'!C27))*'Events · Drivers'!D15*12</f>
        <v>1269360</v>
      </c>
      <c r="G11" s="1321" t="n">
        <f aca="false">('Events · Drivers'!D7*1.2*'Events · Drivers'!D10+'Events · Drivers'!D8*'Events · Drivers'!D11+'Events · Drivers'!D9*'Events · Drivers'!D12)*12+MAX(0,'Events · Drivers'!C27-MIN(('Events · Drivers'!D7*1.2+'Events · Drivers'!D8+'Events · Drivers'!D9),'Events · Drivers'!C27))*'Events · Drivers'!D15*12</f>
        <v>1332720</v>
      </c>
    </row>
    <row r="12" customFormat="false" ht="15" hidden="false" customHeight="true" outlineLevel="0" collapsed="false">
      <c r="B12" s="6"/>
      <c r="F12" s="6"/>
    </row>
    <row r="13" customFormat="false" ht="15" hidden="false" customHeight="true" outlineLevel="0" collapsed="false">
      <c r="B13" s="6"/>
      <c r="F13" s="6"/>
    </row>
    <row r="14" customFormat="false" ht="21.75" hidden="false" customHeight="true" outlineLevel="0" collapsed="false">
      <c r="B14" s="304" t="s">
        <v>2343</v>
      </c>
      <c r="C14" s="304"/>
      <c r="D14" s="304"/>
      <c r="E14" s="304"/>
      <c r="F14" s="304"/>
      <c r="G14" s="304"/>
      <c r="H14" s="304"/>
    </row>
    <row r="15" customFormat="false" ht="120" hidden="false" customHeight="true" outlineLevel="0" collapsed="false">
      <c r="B15" s="85" t="s">
        <v>5186</v>
      </c>
      <c r="C15" s="85"/>
      <c r="D15" s="85"/>
      <c r="E15" s="85"/>
      <c r="F15" s="85"/>
      <c r="G15" s="85"/>
    </row>
    <row r="16" customFormat="false" ht="15" hidden="false" customHeight="true" outlineLevel="0" collapsed="false">
      <c r="B16" s="85"/>
      <c r="C16" s="85"/>
      <c r="D16" s="85"/>
      <c r="E16" s="85"/>
      <c r="F16" s="85"/>
      <c r="G16" s="85"/>
    </row>
    <row r="17" customFormat="false" ht="15" hidden="false" customHeight="true" outlineLevel="0" collapsed="false">
      <c r="B17" s="85"/>
      <c r="C17" s="85"/>
      <c r="D17" s="85"/>
      <c r="E17" s="85"/>
      <c r="F17" s="85"/>
      <c r="G17" s="85"/>
    </row>
    <row r="18" customFormat="false" ht="15" hidden="false" customHeight="true" outlineLevel="0" collapsed="false">
      <c r="B18" s="85"/>
      <c r="C18" s="85"/>
      <c r="D18" s="85"/>
      <c r="E18" s="85"/>
      <c r="F18" s="85"/>
      <c r="G18" s="85"/>
    </row>
  </sheetData>
  <mergeCells count="6">
    <mergeCell ref="B2:F2"/>
    <mergeCell ref="G2:J2"/>
    <mergeCell ref="B3:J3"/>
    <mergeCell ref="B5:H5"/>
    <mergeCell ref="B14:H14"/>
    <mergeCell ref="B15:G18"/>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A1:I7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6" min="6" style="0" width="17"/>
    <col collapsed="false" customWidth="true" hidden="false" outlineLevel="0" max="7" min="7" style="0" width="22"/>
    <col collapsed="false" customWidth="true" hidden="false" outlineLevel="0" max="11" min="8" style="0" width="9"/>
  </cols>
  <sheetData>
    <row r="1" customFormat="false" ht="3.75" hidden="false" customHeight="true" outlineLevel="0" collapsed="false">
      <c r="A1" s="314"/>
      <c r="B1" s="315"/>
      <c r="C1" s="316"/>
      <c r="D1" s="316"/>
      <c r="E1" s="315"/>
      <c r="F1" s="316"/>
      <c r="G1" s="2"/>
      <c r="H1" s="2"/>
      <c r="I1" s="2"/>
    </row>
    <row r="2" customFormat="false" ht="27.75" hidden="false" customHeight="true" outlineLevel="0" collapsed="false">
      <c r="A2" s="314"/>
      <c r="B2" s="88" t="s">
        <v>5187</v>
      </c>
      <c r="C2" s="88"/>
      <c r="D2" s="88"/>
      <c r="E2" s="88"/>
      <c r="F2" s="88"/>
      <c r="G2" s="89" t="s">
        <v>995</v>
      </c>
      <c r="H2" s="89"/>
      <c r="I2" s="89"/>
    </row>
    <row r="3" customFormat="false" ht="33.75" hidden="false" customHeight="true" outlineLevel="0" collapsed="false">
      <c r="A3" s="314"/>
      <c r="B3" s="90" t="s">
        <v>5188</v>
      </c>
      <c r="C3" s="90"/>
      <c r="D3" s="90"/>
      <c r="E3" s="90"/>
      <c r="F3" s="90"/>
      <c r="G3" s="90"/>
      <c r="H3" s="90"/>
      <c r="I3" s="90"/>
    </row>
    <row r="4" customFormat="false" ht="15" hidden="false" customHeight="true" outlineLevel="0" collapsed="false">
      <c r="A4" s="314"/>
      <c r="B4" s="317"/>
      <c r="C4" s="314"/>
      <c r="D4" s="314"/>
      <c r="E4" s="317"/>
      <c r="F4" s="314"/>
    </row>
    <row r="5" customFormat="false" ht="21.75" hidden="false" customHeight="true" outlineLevel="0" collapsed="false">
      <c r="A5" s="314"/>
      <c r="B5" s="96" t="s">
        <v>4374</v>
      </c>
      <c r="C5" s="96"/>
      <c r="D5" s="96"/>
      <c r="E5" s="96"/>
      <c r="F5" s="96"/>
      <c r="G5" s="96"/>
      <c r="H5" s="96"/>
      <c r="I5" s="96"/>
    </row>
    <row r="6" customFormat="false" ht="21.75" hidden="false" customHeight="true" outlineLevel="0" collapsed="false">
      <c r="A6" s="314"/>
      <c r="B6" s="97" t="s">
        <v>206</v>
      </c>
      <c r="C6" s="98" t="s">
        <v>4375</v>
      </c>
      <c r="D6" s="98" t="s">
        <v>4441</v>
      </c>
      <c r="E6" s="99" t="s">
        <v>5189</v>
      </c>
      <c r="F6" s="98" t="s">
        <v>4141</v>
      </c>
      <c r="G6" s="98" t="s">
        <v>395</v>
      </c>
    </row>
    <row r="7" customFormat="false" ht="18" hidden="false" customHeight="true" outlineLevel="0" collapsed="false">
      <c r="A7" s="314"/>
      <c r="B7" s="113" t="s">
        <v>4805</v>
      </c>
      <c r="C7" s="541" t="n">
        <f aca="false">'Events · Drivers'!C32*12</f>
        <v>132</v>
      </c>
      <c r="D7" s="706" t="s">
        <v>5190</v>
      </c>
      <c r="E7" s="863" t="s">
        <v>5191</v>
      </c>
      <c r="F7" s="690" t="s">
        <v>5192</v>
      </c>
      <c r="G7" s="565" t="s">
        <v>5193</v>
      </c>
    </row>
    <row r="8" customFormat="false" ht="18" hidden="false" customHeight="true" outlineLevel="0" collapsed="false">
      <c r="A8" s="314"/>
      <c r="B8" s="113" t="s">
        <v>5080</v>
      </c>
      <c r="C8" s="541" t="n">
        <f aca="false">'Events · Drivers'!C27*12</f>
        <v>360</v>
      </c>
      <c r="D8" s="706" t="s">
        <v>5194</v>
      </c>
      <c r="E8" s="863" t="s">
        <v>5195</v>
      </c>
      <c r="F8" s="690" t="s">
        <v>5196</v>
      </c>
      <c r="G8" s="565" t="s">
        <v>5197</v>
      </c>
    </row>
    <row r="9" customFormat="false" ht="18" hidden="false" customHeight="true" outlineLevel="0" collapsed="false">
      <c r="A9" s="314"/>
      <c r="B9" s="113" t="s">
        <v>5198</v>
      </c>
      <c r="C9" s="541" t="n">
        <f aca="false">'Events · Drivers'!C32/4.3</f>
        <v>2.55813953488372</v>
      </c>
      <c r="D9" s="706" t="s">
        <v>5199</v>
      </c>
      <c r="E9" s="863" t="s">
        <v>5200</v>
      </c>
      <c r="F9" s="690" t="s">
        <v>5201</v>
      </c>
      <c r="G9" s="565" t="s">
        <v>5202</v>
      </c>
    </row>
    <row r="10" customFormat="false" ht="18" hidden="false" customHeight="true" outlineLevel="0" collapsed="false">
      <c r="A10" s="314"/>
      <c r="B10" s="113" t="s">
        <v>5203</v>
      </c>
      <c r="C10" s="541" t="n">
        <f aca="false">'Events · Drivers'!D75</f>
        <v>8</v>
      </c>
      <c r="D10" s="706" t="s">
        <v>5204</v>
      </c>
      <c r="E10" s="863" t="s">
        <v>5205</v>
      </c>
      <c r="F10" s="690" t="s">
        <v>2828</v>
      </c>
      <c r="G10" s="565" t="s">
        <v>5206</v>
      </c>
    </row>
    <row r="11" customFormat="false" ht="18" hidden="false" customHeight="true" outlineLevel="0" collapsed="false">
      <c r="A11" s="314"/>
      <c r="B11" s="113" t="s">
        <v>4833</v>
      </c>
      <c r="C11" s="1218" t="n">
        <f aca="false">'Events · Drivers'!C79</f>
        <v>0.319767441860465</v>
      </c>
      <c r="D11" s="706" t="s">
        <v>5207</v>
      </c>
      <c r="E11" s="863" t="s">
        <v>5208</v>
      </c>
      <c r="F11" s="690" t="s">
        <v>5209</v>
      </c>
      <c r="G11" s="565" t="s">
        <v>5210</v>
      </c>
    </row>
    <row r="12" customFormat="false" ht="18" hidden="false" customHeight="true" outlineLevel="0" collapsed="false">
      <c r="A12" s="314"/>
      <c r="B12" s="113" t="s">
        <v>4809</v>
      </c>
      <c r="C12" s="541" t="n">
        <f aca="false">'Events · Drivers'!C13</f>
        <v>212.5</v>
      </c>
      <c r="D12" s="706" t="s">
        <v>5211</v>
      </c>
      <c r="E12" s="863" t="s">
        <v>5212</v>
      </c>
      <c r="F12" s="690" t="s">
        <v>5213</v>
      </c>
      <c r="G12" s="565" t="s">
        <v>5214</v>
      </c>
    </row>
    <row r="13" customFormat="false" ht="18" hidden="false" customHeight="true" outlineLevel="0" collapsed="false">
      <c r="A13" s="314"/>
      <c r="B13" s="113" t="s">
        <v>5215</v>
      </c>
      <c r="C13" s="541" t="n">
        <v>90</v>
      </c>
      <c r="D13" s="706" t="s">
        <v>5216</v>
      </c>
      <c r="E13" s="863" t="s">
        <v>5217</v>
      </c>
      <c r="F13" s="690" t="s">
        <v>5213</v>
      </c>
      <c r="G13" s="565" t="s">
        <v>5218</v>
      </c>
    </row>
    <row r="14" customFormat="false" ht="15" hidden="false" customHeight="true" outlineLevel="0" collapsed="false">
      <c r="A14" s="314"/>
      <c r="B14" s="113" t="s">
        <v>5119</v>
      </c>
      <c r="C14" s="1218" t="n">
        <v>0.35</v>
      </c>
      <c r="D14" s="706" t="s">
        <v>5219</v>
      </c>
      <c r="E14" s="863" t="s">
        <v>5220</v>
      </c>
      <c r="F14" s="690" t="s">
        <v>5192</v>
      </c>
      <c r="G14" s="565" t="s">
        <v>5221</v>
      </c>
    </row>
    <row r="15" customFormat="false" ht="21.75" hidden="false" customHeight="true" outlineLevel="0" collapsed="false">
      <c r="A15" s="314"/>
      <c r="B15" s="113" t="s">
        <v>4387</v>
      </c>
      <c r="C15" s="1218" t="n">
        <f aca="false">'Events · Costs'!C34</f>
        <v>0.670100562920221</v>
      </c>
      <c r="D15" s="706" t="s">
        <v>5222</v>
      </c>
      <c r="E15" s="863" t="s">
        <v>5223</v>
      </c>
      <c r="F15" s="690" t="s">
        <v>5224</v>
      </c>
      <c r="G15" s="565" t="s">
        <v>5225</v>
      </c>
    </row>
    <row r="16" customFormat="false" ht="15" hidden="false" customHeight="true" outlineLevel="0" collapsed="false">
      <c r="A16" s="314"/>
      <c r="B16" s="113" t="s">
        <v>4431</v>
      </c>
      <c r="C16" s="547" t="n">
        <f aca="false">'Events · Revenue'!E18/2200</f>
        <v>548.277272727273</v>
      </c>
      <c r="D16" s="706" t="s">
        <v>5226</v>
      </c>
      <c r="E16" s="863" t="s">
        <v>5227</v>
      </c>
      <c r="F16" s="690" t="s">
        <v>5228</v>
      </c>
      <c r="G16" s="565" t="s">
        <v>5229</v>
      </c>
    </row>
    <row r="17" customFormat="false" ht="15" hidden="false" customHeight="true" outlineLevel="0" collapsed="false">
      <c r="B17" s="6"/>
      <c r="E17" s="6"/>
    </row>
    <row r="18" customFormat="false" ht="33.75" hidden="false" customHeight="true" outlineLevel="0" collapsed="false">
      <c r="B18" s="96" t="s">
        <v>5230</v>
      </c>
      <c r="C18" s="96"/>
      <c r="D18" s="96"/>
      <c r="E18" s="96"/>
      <c r="F18" s="96"/>
      <c r="G18" s="96"/>
      <c r="H18" s="96"/>
      <c r="I18" s="96"/>
    </row>
    <row r="19" customFormat="false" ht="21.75" hidden="false" customHeight="true" outlineLevel="0" collapsed="false">
      <c r="B19" s="97" t="s">
        <v>5231</v>
      </c>
      <c r="C19" s="98" t="s">
        <v>4427</v>
      </c>
      <c r="D19" s="98" t="s">
        <v>5232</v>
      </c>
      <c r="E19" s="99" t="s">
        <v>5189</v>
      </c>
      <c r="F19" s="98" t="s">
        <v>4443</v>
      </c>
      <c r="G19" s="98" t="s">
        <v>1658</v>
      </c>
    </row>
    <row r="20" customFormat="false" ht="15" hidden="false" customHeight="true" outlineLevel="0" collapsed="false">
      <c r="B20" s="126" t="s">
        <v>5233</v>
      </c>
      <c r="C20" s="547" t="n">
        <f aca="false">'Events · Drivers'!C10</f>
        <v>8075</v>
      </c>
      <c r="D20" s="706" t="s">
        <v>5234</v>
      </c>
      <c r="E20" s="863" t="s">
        <v>5235</v>
      </c>
      <c r="F20" s="690" t="s">
        <v>5201</v>
      </c>
      <c r="G20" s="565" t="s">
        <v>5236</v>
      </c>
    </row>
    <row r="21" customFormat="false" ht="15" hidden="false" customHeight="true" outlineLevel="0" collapsed="false">
      <c r="B21" s="126" t="s">
        <v>5237</v>
      </c>
      <c r="C21" s="547" t="n">
        <f aca="false">'Events · Drivers'!C11</f>
        <v>5355</v>
      </c>
      <c r="D21" s="706" t="s">
        <v>5238</v>
      </c>
      <c r="E21" s="863" t="s">
        <v>5239</v>
      </c>
      <c r="F21" s="690" t="s">
        <v>5213</v>
      </c>
      <c r="G21" s="565" t="s">
        <v>5240</v>
      </c>
    </row>
    <row r="22" customFormat="false" ht="15" hidden="false" customHeight="true" outlineLevel="0" collapsed="false">
      <c r="B22" s="113" t="s">
        <v>5241</v>
      </c>
      <c r="C22" s="547" t="n">
        <f aca="false">'Events · Drivers'!C12</f>
        <v>4250</v>
      </c>
      <c r="D22" s="706" t="s">
        <v>5242</v>
      </c>
      <c r="E22" s="863" t="s">
        <v>5243</v>
      </c>
      <c r="F22" s="690" t="s">
        <v>5244</v>
      </c>
      <c r="G22" s="565" t="s">
        <v>5245</v>
      </c>
    </row>
    <row r="23" customFormat="false" ht="15" hidden="false" customHeight="true" outlineLevel="0" collapsed="false">
      <c r="B23" s="113" t="s">
        <v>5246</v>
      </c>
      <c r="C23" s="547" t="n">
        <f aca="false">'Events · Revenue'!E18/('Events · Drivers'!C32*12)</f>
        <v>9137.95454545455</v>
      </c>
      <c r="D23" s="706" t="s">
        <v>5242</v>
      </c>
      <c r="E23" s="863" t="s">
        <v>5234</v>
      </c>
      <c r="F23" s="690" t="s">
        <v>5247</v>
      </c>
      <c r="G23" s="565" t="s">
        <v>5248</v>
      </c>
    </row>
    <row r="24" customFormat="false" ht="15" hidden="false" customHeight="true" outlineLevel="0" collapsed="false">
      <c r="B24" s="113" t="s">
        <v>5249</v>
      </c>
      <c r="C24" s="547" t="n">
        <f aca="false">'Events · Costs'!C20/('Events · Drivers'!C32*12)</f>
        <v>3014.60606060606</v>
      </c>
      <c r="D24" s="706" t="s">
        <v>5250</v>
      </c>
      <c r="E24" s="863" t="s">
        <v>5251</v>
      </c>
      <c r="F24" s="690" t="s">
        <v>5252</v>
      </c>
      <c r="G24" s="565" t="s">
        <v>5253</v>
      </c>
    </row>
    <row r="25" customFormat="false" ht="15" hidden="false" customHeight="true" outlineLevel="0" collapsed="false">
      <c r="B25" s="113" t="s">
        <v>5254</v>
      </c>
      <c r="C25" s="547" t="n">
        <f aca="false">'Events · Costs'!C24/('Events · Drivers'!C32*12)</f>
        <v>2204</v>
      </c>
      <c r="D25" s="706" t="s">
        <v>5255</v>
      </c>
      <c r="E25" s="863" t="s">
        <v>5256</v>
      </c>
      <c r="F25" s="690" t="s">
        <v>5257</v>
      </c>
      <c r="G25" s="565" t="s">
        <v>5258</v>
      </c>
    </row>
    <row r="26" customFormat="false" ht="15" hidden="false" customHeight="true" outlineLevel="0" collapsed="false">
      <c r="B26" s="113" t="s">
        <v>5259</v>
      </c>
      <c r="C26" s="547" t="n">
        <f aca="false">'Events · Drivers'!C15</f>
        <v>595</v>
      </c>
      <c r="D26" s="706" t="s">
        <v>5260</v>
      </c>
      <c r="E26" s="863" t="s">
        <v>5261</v>
      </c>
      <c r="F26" s="690" t="s">
        <v>5144</v>
      </c>
      <c r="G26" s="565" t="s">
        <v>5262</v>
      </c>
    </row>
    <row r="27" customFormat="false" ht="15" hidden="false" customHeight="true" outlineLevel="0" collapsed="false">
      <c r="B27" s="113" t="s">
        <v>5263</v>
      </c>
      <c r="C27" s="547" t="n">
        <f aca="false">'Events · Drivers'!C14</f>
        <v>8.925</v>
      </c>
      <c r="D27" s="706" t="s">
        <v>4144</v>
      </c>
      <c r="E27" s="863" t="s">
        <v>5264</v>
      </c>
      <c r="F27" s="690" t="s">
        <v>5213</v>
      </c>
      <c r="G27" s="565" t="s">
        <v>5265</v>
      </c>
    </row>
    <row r="28" customFormat="false" ht="15" hidden="false" customHeight="true" outlineLevel="0" collapsed="false">
      <c r="B28" s="113" t="s">
        <v>5266</v>
      </c>
      <c r="C28" s="1322" t="s">
        <v>5267</v>
      </c>
      <c r="D28" s="706" t="s">
        <v>5267</v>
      </c>
      <c r="E28" s="863" t="s">
        <v>5268</v>
      </c>
      <c r="F28" s="690" t="s">
        <v>4140</v>
      </c>
      <c r="G28" s="565" t="s">
        <v>5269</v>
      </c>
    </row>
    <row r="29" customFormat="false" ht="15" hidden="false" customHeight="true" outlineLevel="0" collapsed="false">
      <c r="B29" s="6"/>
      <c r="E29" s="6"/>
    </row>
    <row r="30" customFormat="false" ht="21.75" hidden="false" customHeight="true" outlineLevel="0" collapsed="false">
      <c r="B30" s="575" t="s">
        <v>5270</v>
      </c>
      <c r="C30" s="575"/>
      <c r="D30" s="575"/>
      <c r="E30" s="575"/>
      <c r="F30" s="575"/>
      <c r="G30" s="575"/>
      <c r="H30" s="575"/>
      <c r="I30" s="575"/>
    </row>
    <row r="31" customFormat="false" ht="21.75" hidden="false" customHeight="true" outlineLevel="0" collapsed="false">
      <c r="B31" s="97" t="s">
        <v>2047</v>
      </c>
      <c r="C31" s="98" t="s">
        <v>4427</v>
      </c>
      <c r="D31" s="98" t="s">
        <v>4428</v>
      </c>
      <c r="E31" s="99"/>
      <c r="F31" s="98"/>
      <c r="G31" s="98" t="s">
        <v>1658</v>
      </c>
    </row>
    <row r="32" customFormat="false" ht="15" hidden="false" customHeight="true" outlineLevel="0" collapsed="false">
      <c r="B32" s="113" t="s">
        <v>5271</v>
      </c>
      <c r="C32" s="547" t="n">
        <f aca="false">'Events · Drivers'!C47</f>
        <v>30000</v>
      </c>
      <c r="D32" s="706" t="s">
        <v>5272</v>
      </c>
      <c r="E32" s="6"/>
      <c r="G32" s="565" t="s">
        <v>5273</v>
      </c>
    </row>
    <row r="33" customFormat="false" ht="15" hidden="false" customHeight="true" outlineLevel="0" collapsed="false">
      <c r="B33" s="113" t="s">
        <v>5274</v>
      </c>
      <c r="C33" s="1218" t="n">
        <f aca="false">'Events · Drivers'!C48</f>
        <v>18000</v>
      </c>
      <c r="D33" s="706" t="s">
        <v>5275</v>
      </c>
      <c r="E33" s="6"/>
      <c r="G33" s="565" t="s">
        <v>5276</v>
      </c>
    </row>
    <row r="34" customFormat="false" ht="15" hidden="false" customHeight="true" outlineLevel="0" collapsed="false">
      <c r="B34" s="113" t="s">
        <v>5277</v>
      </c>
      <c r="C34" s="547" t="n">
        <f aca="false">'Events · Drivers'!C63</f>
        <v>28000</v>
      </c>
      <c r="D34" s="706" t="s">
        <v>5278</v>
      </c>
      <c r="E34" s="6"/>
      <c r="G34" s="565" t="s">
        <v>5279</v>
      </c>
    </row>
    <row r="35" customFormat="false" ht="15" hidden="false" customHeight="true" outlineLevel="0" collapsed="false">
      <c r="B35" s="113" t="s">
        <v>5280</v>
      </c>
      <c r="C35" s="547" t="n">
        <f aca="false">'Events · Drivers'!C64</f>
        <v>12000</v>
      </c>
      <c r="D35" s="706" t="s">
        <v>5281</v>
      </c>
      <c r="E35" s="6"/>
      <c r="G35" s="565" t="s">
        <v>5282</v>
      </c>
    </row>
    <row r="36" customFormat="false" ht="15" hidden="false" customHeight="true" outlineLevel="0" collapsed="false">
      <c r="B36" s="113" t="s">
        <v>4944</v>
      </c>
      <c r="C36" s="547" t="n">
        <f aca="false">'Events · Drivers'!C51</f>
        <v>0</v>
      </c>
      <c r="D36" s="706" t="s">
        <v>5283</v>
      </c>
      <c r="E36" s="6"/>
      <c r="G36" s="565" t="s">
        <v>5284</v>
      </c>
    </row>
    <row r="37" customFormat="false" ht="15" hidden="false" customHeight="true" outlineLevel="0" collapsed="false">
      <c r="B37" s="113" t="s">
        <v>5285</v>
      </c>
      <c r="C37" s="547" t="n">
        <f aca="false">'Events · Drivers'!C54+'Events · Drivers'!C55+'Events · Drivers'!C56+'Events · Drivers'!C57+'Events · Drivers'!C60+'Events · Drivers'!C70</f>
        <v>1290</v>
      </c>
      <c r="D37" s="706" t="s">
        <v>5250</v>
      </c>
      <c r="E37" s="6"/>
      <c r="G37" s="565" t="s">
        <v>5286</v>
      </c>
    </row>
    <row r="38" customFormat="false" ht="15" hidden="false" customHeight="true" outlineLevel="0" collapsed="false">
      <c r="B38" s="113" t="s">
        <v>5287</v>
      </c>
      <c r="C38" s="547" t="n">
        <f aca="false">'Events · Drivers'!C54+'Events · Drivers'!C55+'Events · Drivers'!C56+'Events · Drivers'!C57+'Events · Drivers'!C60+'Events · Drivers'!C71</f>
        <v>1240</v>
      </c>
      <c r="D38" s="706" t="s">
        <v>5250</v>
      </c>
      <c r="E38" s="6"/>
      <c r="G38" s="565" t="s">
        <v>5288</v>
      </c>
    </row>
    <row r="39" customFormat="false" ht="15" hidden="false" customHeight="true" outlineLevel="0" collapsed="false">
      <c r="B39" s="113" t="s">
        <v>5289</v>
      </c>
      <c r="C39" s="547" t="n">
        <f aca="false">'Events · Drivers'!C54+'Events · Drivers'!C55+'Events · Drivers'!C56+'Events · Drivers'!C57+'Events · Drivers'!C60+'Events · Drivers'!C72</f>
        <v>1390</v>
      </c>
      <c r="D39" s="706" t="s">
        <v>5250</v>
      </c>
      <c r="E39" s="6"/>
      <c r="G39" s="565" t="s">
        <v>5290</v>
      </c>
    </row>
    <row r="40" customFormat="false" ht="15" hidden="false" customHeight="true" outlineLevel="0" collapsed="false">
      <c r="B40" s="113" t="s">
        <v>5291</v>
      </c>
      <c r="C40" s="1218" t="n">
        <f aca="false">'Events · Costs'!D23</f>
        <v>0.268892865040912</v>
      </c>
      <c r="D40" s="706" t="s">
        <v>5219</v>
      </c>
      <c r="E40" s="6"/>
      <c r="G40" s="565" t="s">
        <v>5292</v>
      </c>
    </row>
    <row r="41" customFormat="false" ht="15" hidden="false" customHeight="true" outlineLevel="0" collapsed="false">
      <c r="B41" s="113" t="s">
        <v>5293</v>
      </c>
      <c r="C41" s="1218" t="n">
        <f aca="false">('Events · Drivers'!C18*'Events · Drivers'!C21*12)/'Events · Revenue'!E18</f>
        <v>0.567065436366802</v>
      </c>
      <c r="D41" s="706" t="s">
        <v>5294</v>
      </c>
      <c r="E41" s="6"/>
      <c r="G41" s="565" t="s">
        <v>5295</v>
      </c>
    </row>
    <row r="42" customFormat="false" ht="15" hidden="false" customHeight="true" outlineLevel="0" collapsed="false">
      <c r="B42" s="113" t="s">
        <v>5296</v>
      </c>
      <c r="C42" s="1218" t="n">
        <f aca="false">('Events · Drivers'!C19*'Events · Drivers'!C22*12)/'Events · Revenue'!E18</f>
        <v>0.250702613972691</v>
      </c>
      <c r="D42" s="706" t="s">
        <v>5219</v>
      </c>
      <c r="E42" s="6"/>
      <c r="G42" s="565" t="s">
        <v>5297</v>
      </c>
    </row>
    <row r="43" customFormat="false" ht="15" hidden="false" customHeight="true" outlineLevel="0" collapsed="false">
      <c r="B43" s="113" t="s">
        <v>5298</v>
      </c>
      <c r="C43" s="1218" t="n">
        <f aca="false">('Events · Drivers'!C20*'Events · Drivers'!C23*12)/'Events · Revenue'!E18</f>
        <v>0.0497425821374388</v>
      </c>
      <c r="D43" s="706" t="s">
        <v>5299</v>
      </c>
      <c r="E43" s="6"/>
      <c r="G43" s="565" t="s">
        <v>5300</v>
      </c>
    </row>
    <row r="44" customFormat="false" ht="15" hidden="false" customHeight="true" outlineLevel="0" collapsed="false">
      <c r="B44" s="113" t="s">
        <v>5301</v>
      </c>
      <c r="C44" s="1218" t="n">
        <f aca="false">'Events · Revenue'!E14/'Events · Revenue'!E18</f>
        <v>0.0463103439699555</v>
      </c>
      <c r="D44" s="706" t="s">
        <v>5302</v>
      </c>
      <c r="E44" s="6"/>
      <c r="G44" s="565" t="s">
        <v>5303</v>
      </c>
    </row>
    <row r="45" customFormat="false" ht="15" hidden="false" customHeight="true" outlineLevel="0" collapsed="false">
      <c r="B45" s="6"/>
      <c r="E45" s="6"/>
    </row>
    <row r="46" customFormat="false" ht="21.75" hidden="false" customHeight="true" outlineLevel="0" collapsed="false">
      <c r="B46" s="96" t="s">
        <v>5304</v>
      </c>
      <c r="C46" s="96"/>
      <c r="D46" s="96"/>
      <c r="E46" s="96"/>
      <c r="F46" s="96"/>
      <c r="G46" s="96"/>
      <c r="H46" s="96"/>
      <c r="I46" s="96"/>
    </row>
    <row r="47" customFormat="false" ht="21.75" hidden="false" customHeight="true" outlineLevel="0" collapsed="false">
      <c r="B47" s="97" t="s">
        <v>5305</v>
      </c>
      <c r="C47" s="98" t="s">
        <v>3003</v>
      </c>
      <c r="D47" s="98" t="s">
        <v>5306</v>
      </c>
      <c r="E47" s="99" t="s">
        <v>5307</v>
      </c>
      <c r="F47" s="98" t="s">
        <v>4443</v>
      </c>
      <c r="G47" s="98" t="s">
        <v>778</v>
      </c>
    </row>
    <row r="48" customFormat="false" ht="15" hidden="false" customHeight="true" outlineLevel="0" collapsed="false">
      <c r="B48" s="126" t="s">
        <v>5308</v>
      </c>
      <c r="C48" s="706" t="s">
        <v>5309</v>
      </c>
      <c r="D48" s="706" t="s">
        <v>5310</v>
      </c>
      <c r="E48" s="863" t="s">
        <v>5311</v>
      </c>
      <c r="F48" s="690" t="s">
        <v>5312</v>
      </c>
      <c r="G48" s="565" t="s">
        <v>5313</v>
      </c>
    </row>
    <row r="49" customFormat="false" ht="15" hidden="false" customHeight="true" outlineLevel="0" collapsed="false">
      <c r="B49" s="113" t="s">
        <v>5314</v>
      </c>
      <c r="C49" s="706" t="s">
        <v>5309</v>
      </c>
      <c r="D49" s="706" t="s">
        <v>5315</v>
      </c>
      <c r="E49" s="863" t="s">
        <v>5316</v>
      </c>
      <c r="F49" s="690" t="s">
        <v>5317</v>
      </c>
      <c r="G49" s="565" t="s">
        <v>5318</v>
      </c>
    </row>
    <row r="50" customFormat="false" ht="15" hidden="false" customHeight="true" outlineLevel="0" collapsed="false">
      <c r="B50" s="113" t="s">
        <v>5319</v>
      </c>
      <c r="C50" s="706" t="s">
        <v>5320</v>
      </c>
      <c r="D50" s="706" t="s">
        <v>5321</v>
      </c>
      <c r="E50" s="863" t="s">
        <v>5322</v>
      </c>
      <c r="F50" s="690" t="s">
        <v>5320</v>
      </c>
      <c r="G50" s="565" t="s">
        <v>5323</v>
      </c>
    </row>
    <row r="51" customFormat="false" ht="15" hidden="false" customHeight="true" outlineLevel="0" collapsed="false">
      <c r="B51" s="113" t="s">
        <v>5324</v>
      </c>
      <c r="C51" s="706" t="s">
        <v>5325</v>
      </c>
      <c r="D51" s="706" t="s">
        <v>5326</v>
      </c>
      <c r="E51" s="863" t="s">
        <v>5327</v>
      </c>
      <c r="F51" s="690" t="s">
        <v>5325</v>
      </c>
      <c r="G51" s="565" t="s">
        <v>5328</v>
      </c>
    </row>
    <row r="52" customFormat="false" ht="15" hidden="false" customHeight="true" outlineLevel="0" collapsed="false">
      <c r="B52" s="113" t="s">
        <v>5329</v>
      </c>
      <c r="C52" s="706" t="s">
        <v>5309</v>
      </c>
      <c r="D52" s="706" t="s">
        <v>5315</v>
      </c>
      <c r="E52" s="863" t="s">
        <v>5330</v>
      </c>
      <c r="F52" s="690" t="s">
        <v>5331</v>
      </c>
      <c r="G52" s="565" t="s">
        <v>5332</v>
      </c>
    </row>
    <row r="53" customFormat="false" ht="15" hidden="false" customHeight="true" outlineLevel="0" collapsed="false">
      <c r="B53" s="113" t="s">
        <v>5333</v>
      </c>
      <c r="C53" s="706" t="s">
        <v>1737</v>
      </c>
      <c r="D53" s="706" t="s">
        <v>2350</v>
      </c>
      <c r="E53" s="863" t="s">
        <v>5334</v>
      </c>
      <c r="F53" s="690" t="s">
        <v>1531</v>
      </c>
      <c r="G53" s="565" t="s">
        <v>5335</v>
      </c>
    </row>
    <row r="54" customFormat="false" ht="15" hidden="false" customHeight="true" outlineLevel="0" collapsed="false">
      <c r="B54" s="905" t="s">
        <v>5336</v>
      </c>
      <c r="C54" s="706" t="s">
        <v>5337</v>
      </c>
      <c r="D54" s="706" t="s">
        <v>5338</v>
      </c>
      <c r="E54" s="580" t="s">
        <v>5339</v>
      </c>
      <c r="F54" s="690" t="s">
        <v>5340</v>
      </c>
      <c r="G54" s="565" t="s">
        <v>5341</v>
      </c>
    </row>
    <row r="55" customFormat="false" ht="15" hidden="false" customHeight="true" outlineLevel="0" collapsed="false">
      <c r="B55" s="6"/>
      <c r="E55" s="6"/>
    </row>
    <row r="56" customFormat="false" ht="15" hidden="false" customHeight="true" outlineLevel="0" collapsed="false">
      <c r="B56" s="6"/>
      <c r="E56" s="6"/>
    </row>
    <row r="57" customFormat="false" ht="21.75" hidden="false" customHeight="true" outlineLevel="0" collapsed="false">
      <c r="B57" s="51" t="s">
        <v>5342</v>
      </c>
      <c r="C57" s="51"/>
      <c r="D57" s="51"/>
      <c r="E57" s="51"/>
      <c r="F57" s="51"/>
      <c r="G57" s="51"/>
      <c r="H57" s="51"/>
      <c r="I57" s="51"/>
    </row>
    <row r="58" customFormat="false" ht="15" hidden="false" customHeight="true" outlineLevel="0" collapsed="false">
      <c r="B58" s="1323" t="s">
        <v>5343</v>
      </c>
      <c r="E58" s="6"/>
    </row>
    <row r="59" customFormat="false" ht="15" hidden="false" customHeight="true" outlineLevel="0" collapsed="false">
      <c r="B59" s="6"/>
      <c r="C59" s="742" t="s">
        <v>5344</v>
      </c>
      <c r="D59" s="742"/>
      <c r="E59" s="742"/>
      <c r="F59" s="742"/>
      <c r="G59" s="742"/>
      <c r="H59" s="742"/>
      <c r="I59" s="742"/>
    </row>
    <row r="60" customFormat="false" ht="15" hidden="false" customHeight="true" outlineLevel="0" collapsed="false">
      <c r="B60" s="6"/>
      <c r="C60" s="742" t="s">
        <v>5345</v>
      </c>
      <c r="D60" s="742"/>
      <c r="E60" s="742"/>
      <c r="F60" s="742"/>
      <c r="G60" s="742"/>
      <c r="H60" s="742"/>
      <c r="I60" s="742"/>
    </row>
    <row r="61" customFormat="false" ht="15" hidden="false" customHeight="true" outlineLevel="0" collapsed="false">
      <c r="B61" s="6"/>
      <c r="C61" s="742" t="s">
        <v>5346</v>
      </c>
      <c r="D61" s="742"/>
      <c r="E61" s="742"/>
      <c r="F61" s="742"/>
      <c r="G61" s="742"/>
      <c r="H61" s="742"/>
      <c r="I61" s="742"/>
    </row>
    <row r="62" customFormat="false" ht="15" hidden="false" customHeight="true" outlineLevel="0" collapsed="false">
      <c r="B62" s="6"/>
      <c r="C62" s="742" t="s">
        <v>5347</v>
      </c>
      <c r="D62" s="742"/>
      <c r="E62" s="742"/>
      <c r="F62" s="742"/>
      <c r="G62" s="742"/>
      <c r="H62" s="742"/>
      <c r="I62" s="742"/>
    </row>
    <row r="63" customFormat="false" ht="15" hidden="false" customHeight="true" outlineLevel="0" collapsed="false">
      <c r="B63" s="6"/>
      <c r="C63" s="742" t="s">
        <v>5348</v>
      </c>
      <c r="D63" s="742"/>
      <c r="E63" s="742"/>
      <c r="F63" s="742"/>
      <c r="G63" s="742"/>
      <c r="H63" s="742"/>
      <c r="I63" s="742"/>
    </row>
    <row r="64" customFormat="false" ht="15" hidden="false" customHeight="true" outlineLevel="0" collapsed="false">
      <c r="B64" s="1323" t="s">
        <v>5349</v>
      </c>
      <c r="E64" s="6"/>
    </row>
    <row r="65" customFormat="false" ht="15" hidden="false" customHeight="true" outlineLevel="0" collapsed="false">
      <c r="B65" s="6"/>
      <c r="C65" s="742" t="s">
        <v>5350</v>
      </c>
      <c r="D65" s="742"/>
      <c r="E65" s="742"/>
      <c r="F65" s="742"/>
      <c r="G65" s="742"/>
      <c r="H65" s="742"/>
      <c r="I65" s="742"/>
    </row>
    <row r="66" customFormat="false" ht="15" hidden="false" customHeight="true" outlineLevel="0" collapsed="false">
      <c r="B66" s="6"/>
      <c r="C66" s="742" t="s">
        <v>5351</v>
      </c>
      <c r="D66" s="742"/>
      <c r="E66" s="742"/>
      <c r="F66" s="742"/>
      <c r="G66" s="742"/>
      <c r="H66" s="742"/>
      <c r="I66" s="742"/>
    </row>
    <row r="67" customFormat="false" ht="15" hidden="false" customHeight="true" outlineLevel="0" collapsed="false">
      <c r="B67" s="1323" t="s">
        <v>5352</v>
      </c>
      <c r="E67" s="6"/>
    </row>
    <row r="68" customFormat="false" ht="15" hidden="false" customHeight="true" outlineLevel="0" collapsed="false">
      <c r="B68" s="6"/>
      <c r="C68" s="742" t="s">
        <v>5353</v>
      </c>
      <c r="D68" s="742"/>
      <c r="E68" s="742"/>
      <c r="F68" s="742"/>
      <c r="G68" s="742"/>
      <c r="H68" s="742"/>
      <c r="I68" s="742"/>
    </row>
    <row r="69" customFormat="false" ht="15" hidden="false" customHeight="true" outlineLevel="0" collapsed="false">
      <c r="B69" s="6"/>
      <c r="C69" s="742" t="s">
        <v>5354</v>
      </c>
      <c r="D69" s="742"/>
      <c r="E69" s="742"/>
      <c r="F69" s="742"/>
      <c r="G69" s="742"/>
      <c r="H69" s="742"/>
      <c r="I69" s="742"/>
    </row>
    <row r="70" customFormat="false" ht="15" hidden="false" customHeight="true" outlineLevel="0" collapsed="false">
      <c r="B70" s="6"/>
      <c r="E70" s="6"/>
    </row>
    <row r="71" customFormat="false" ht="108.75" hidden="false" customHeight="true" outlineLevel="0" collapsed="false">
      <c r="B71" s="602" t="s">
        <v>5355</v>
      </c>
      <c r="C71" s="602"/>
      <c r="D71" s="602"/>
      <c r="E71" s="602"/>
      <c r="F71" s="602"/>
      <c r="G71" s="602"/>
      <c r="H71" s="602"/>
      <c r="I71" s="602"/>
    </row>
  </sheetData>
  <mergeCells count="18">
    <mergeCell ref="B2:F2"/>
    <mergeCell ref="G2:I2"/>
    <mergeCell ref="B3:I3"/>
    <mergeCell ref="B5:I5"/>
    <mergeCell ref="B18:I18"/>
    <mergeCell ref="B30:I30"/>
    <mergeCell ref="B46:I46"/>
    <mergeCell ref="B57:I57"/>
    <mergeCell ref="C59:I59"/>
    <mergeCell ref="C60:I60"/>
    <mergeCell ref="C61:I61"/>
    <mergeCell ref="C62:I62"/>
    <mergeCell ref="C63:I63"/>
    <mergeCell ref="C65:I65"/>
    <mergeCell ref="C66:I66"/>
    <mergeCell ref="C68:I68"/>
    <mergeCell ref="C69:I69"/>
    <mergeCell ref="B71:I71"/>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4FB4"/>
    <pageSetUpPr fitToPage="true"/>
  </sheetPr>
  <dimension ref="B1: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4" min="2" style="0" width="26"/>
    <col collapsed="false" customWidth="true" hidden="false" outlineLevel="0" max="6" min="5" style="0" width="9"/>
    <col collapsed="false" customWidth="true" hidden="false" outlineLevel="0" max="11" min="7" style="0" width="12"/>
  </cols>
  <sheetData>
    <row r="1" customFormat="false" ht="3.75" hidden="false" customHeight="true" outlineLevel="0" collapsed="false">
      <c r="B1" s="1"/>
      <c r="C1" s="1"/>
      <c r="D1" s="2"/>
      <c r="E1" s="2"/>
      <c r="F1" s="2"/>
    </row>
    <row r="2" customFormat="false" ht="27.75" hidden="false" customHeight="true" outlineLevel="0" collapsed="false">
      <c r="B2" s="88" t="s">
        <v>5356</v>
      </c>
      <c r="C2" s="88"/>
      <c r="D2" s="88"/>
      <c r="E2" s="88"/>
      <c r="F2" s="88"/>
    </row>
    <row r="3" customFormat="false" ht="18" hidden="false" customHeight="true" outlineLevel="0" collapsed="false">
      <c r="B3" s="90" t="s">
        <v>5357</v>
      </c>
      <c r="C3" s="90"/>
      <c r="D3" s="90"/>
      <c r="E3" s="90"/>
      <c r="F3" s="90"/>
    </row>
    <row r="4" customFormat="false" ht="15" hidden="false" customHeight="true" outlineLevel="0" collapsed="false">
      <c r="B4" s="6"/>
      <c r="C4" s="6"/>
    </row>
    <row r="5" customFormat="false" ht="33.75" hidden="false" customHeight="true" outlineLevel="0" collapsed="false">
      <c r="B5" s="96" t="s">
        <v>5358</v>
      </c>
      <c r="C5" s="96"/>
      <c r="D5" s="96"/>
    </row>
    <row r="6" customFormat="false" ht="21.75" hidden="false" customHeight="true" outlineLevel="0" collapsed="false">
      <c r="B6" s="97" t="s">
        <v>4477</v>
      </c>
      <c r="C6" s="97" t="s">
        <v>4478</v>
      </c>
      <c r="D6" s="551" t="s">
        <v>86</v>
      </c>
    </row>
    <row r="7" customFormat="false" ht="18" hidden="false" customHeight="true" outlineLevel="0" collapsed="false">
      <c r="B7" s="1324" t="s">
        <v>5359</v>
      </c>
      <c r="C7" s="1325" t="s">
        <v>5360</v>
      </c>
      <c r="D7" s="1326" t="s">
        <v>5361</v>
      </c>
    </row>
    <row r="8" customFormat="false" ht="18" hidden="false" customHeight="true" outlineLevel="0" collapsed="false">
      <c r="B8" s="1324" t="s">
        <v>5362</v>
      </c>
      <c r="C8" s="1325" t="s">
        <v>5363</v>
      </c>
      <c r="D8" s="1326" t="s">
        <v>5364</v>
      </c>
    </row>
    <row r="9" customFormat="false" ht="18" hidden="false" customHeight="true" outlineLevel="0" collapsed="false">
      <c r="B9" s="1324" t="s">
        <v>5365</v>
      </c>
      <c r="C9" s="1325" t="s">
        <v>5366</v>
      </c>
      <c r="D9" s="1326" t="s">
        <v>5367</v>
      </c>
    </row>
    <row r="10" customFormat="false" ht="18" hidden="false" customHeight="true" outlineLevel="0" collapsed="false">
      <c r="B10" s="1324" t="s">
        <v>5368</v>
      </c>
      <c r="C10" s="1325" t="s">
        <v>5369</v>
      </c>
      <c r="D10" s="1326" t="s">
        <v>5370</v>
      </c>
    </row>
    <row r="11" customFormat="false" ht="18" hidden="false" customHeight="true" outlineLevel="0" collapsed="false">
      <c r="B11" s="1324" t="s">
        <v>5371</v>
      </c>
      <c r="C11" s="1325" t="s">
        <v>5372</v>
      </c>
      <c r="D11" s="1326" t="s">
        <v>5373</v>
      </c>
    </row>
    <row r="12" customFormat="false" ht="18" hidden="false" customHeight="true" outlineLevel="0" collapsed="false">
      <c r="B12" s="1324" t="s">
        <v>5374</v>
      </c>
      <c r="C12" s="1325" t="s">
        <v>5375</v>
      </c>
      <c r="D12" s="1326" t="s">
        <v>5376</v>
      </c>
    </row>
    <row r="13" customFormat="false" ht="18" hidden="false" customHeight="true" outlineLevel="0" collapsed="false">
      <c r="B13" s="1324" t="s">
        <v>5377</v>
      </c>
      <c r="C13" s="1325" t="s">
        <v>5375</v>
      </c>
      <c r="D13" s="1326" t="s">
        <v>5378</v>
      </c>
    </row>
    <row r="14" customFormat="false" ht="15" hidden="false" customHeight="true" outlineLevel="0" collapsed="false">
      <c r="B14" s="6"/>
      <c r="C14" s="6"/>
    </row>
    <row r="15" customFormat="false" ht="21.75" hidden="false" customHeight="true" outlineLevel="0" collapsed="false">
      <c r="B15" s="575" t="s">
        <v>4495</v>
      </c>
      <c r="C15" s="575"/>
      <c r="D15" s="575"/>
    </row>
    <row r="16" customFormat="false" ht="120" hidden="false" customHeight="true" outlineLevel="0" collapsed="false">
      <c r="B16" s="574" t="s">
        <v>5379</v>
      </c>
      <c r="C16" s="574"/>
      <c r="D16" s="574"/>
    </row>
    <row r="17" customFormat="false" ht="15" hidden="false" customHeight="true" outlineLevel="0" collapsed="false">
      <c r="B17" s="574"/>
      <c r="C17" s="574"/>
      <c r="D17" s="574"/>
    </row>
    <row r="18" customFormat="false" ht="15" hidden="false" customHeight="true" outlineLevel="0" collapsed="false">
      <c r="B18" s="574"/>
      <c r="C18" s="574"/>
      <c r="D18" s="574"/>
    </row>
    <row r="19" customFormat="false" ht="15" hidden="false" customHeight="true" outlineLevel="0" collapsed="false">
      <c r="B19" s="574"/>
      <c r="C19" s="574"/>
      <c r="D19" s="574"/>
    </row>
    <row r="20" customFormat="false" ht="15" hidden="false" customHeight="true" outlineLevel="0" collapsed="false">
      <c r="B20" s="574"/>
      <c r="C20" s="574"/>
      <c r="D20" s="574"/>
    </row>
    <row r="21" customFormat="false" ht="15" hidden="false" customHeight="true" outlineLevel="0" collapsed="false">
      <c r="B21" s="574"/>
      <c r="C21" s="574"/>
      <c r="D21" s="574"/>
    </row>
  </sheetData>
  <mergeCells count="5">
    <mergeCell ref="B2:F2"/>
    <mergeCell ref="B3:F3"/>
    <mergeCell ref="B5:D5"/>
    <mergeCell ref="B15:D15"/>
    <mergeCell ref="B16:D21"/>
  </mergeCells>
  <printOptions headings="false" gridLines="false" gridLinesSet="true" horizontalCentered="fals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A1:J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2"/>
    <col collapsed="false" customWidth="true" hidden="false" outlineLevel="0" max="9" min="8" style="0" width="20"/>
    <col collapsed="false" customWidth="true" hidden="false" outlineLevel="0" max="11" min="10" style="0" width="9"/>
  </cols>
  <sheetData>
    <row r="1" customFormat="false" ht="3.75" hidden="false" customHeight="true" outlineLevel="0" collapsed="false">
      <c r="A1" s="314"/>
      <c r="B1" s="315"/>
      <c r="C1" s="315"/>
      <c r="D1" s="315"/>
      <c r="E1" s="316"/>
      <c r="F1" s="316"/>
      <c r="G1" s="316"/>
      <c r="H1" s="316"/>
      <c r="I1" s="316"/>
      <c r="J1" s="314"/>
    </row>
    <row r="2" customFormat="false" ht="27.75" hidden="false" customHeight="true" outlineLevel="0" collapsed="false">
      <c r="A2" s="314"/>
      <c r="B2" s="15" t="s">
        <v>5380</v>
      </c>
      <c r="C2" s="15"/>
      <c r="D2" s="15"/>
      <c r="E2" s="15"/>
      <c r="F2" s="15"/>
      <c r="G2" s="89" t="s">
        <v>995</v>
      </c>
      <c r="H2" s="89"/>
      <c r="I2" s="89"/>
      <c r="J2" s="314"/>
    </row>
    <row r="3" customFormat="false" ht="33.75" hidden="false" customHeight="true" outlineLevel="0" collapsed="false">
      <c r="A3" s="314"/>
      <c r="B3" s="90" t="s">
        <v>4498</v>
      </c>
      <c r="C3" s="90"/>
      <c r="D3" s="90"/>
      <c r="E3" s="90"/>
      <c r="F3" s="90"/>
      <c r="G3" s="90"/>
      <c r="H3" s="90"/>
      <c r="I3" s="90"/>
      <c r="J3" s="314"/>
    </row>
    <row r="4" customFormat="false" ht="15" hidden="false" customHeight="true" outlineLevel="0" collapsed="false">
      <c r="A4" s="314"/>
      <c r="B4" s="317"/>
      <c r="C4" s="317"/>
      <c r="D4" s="317"/>
      <c r="E4" s="314"/>
      <c r="F4" s="314"/>
      <c r="G4" s="314"/>
      <c r="H4" s="314"/>
      <c r="I4" s="314"/>
      <c r="J4" s="314"/>
    </row>
    <row r="5" customFormat="false" ht="21.75" hidden="false" customHeight="true" outlineLevel="0" collapsed="false">
      <c r="A5" s="314"/>
      <c r="B5" s="96" t="s">
        <v>4499</v>
      </c>
      <c r="C5" s="96"/>
      <c r="D5" s="96"/>
      <c r="E5" s="96"/>
      <c r="F5" s="96"/>
      <c r="G5" s="96"/>
      <c r="H5" s="1154" t="s">
        <v>3435</v>
      </c>
      <c r="I5" s="314"/>
      <c r="J5" s="314"/>
    </row>
    <row r="6" customFormat="false" ht="21.75" hidden="false" customHeight="true" outlineLevel="0" collapsed="false">
      <c r="A6" s="314"/>
      <c r="B6" s="97" t="s">
        <v>206</v>
      </c>
      <c r="C6" s="99" t="s">
        <v>3436</v>
      </c>
      <c r="D6" s="99" t="s">
        <v>208</v>
      </c>
      <c r="E6" s="98" t="s">
        <v>3437</v>
      </c>
      <c r="F6" s="98" t="s">
        <v>210</v>
      </c>
      <c r="G6" s="314"/>
      <c r="H6" s="107" t="s">
        <v>3438</v>
      </c>
      <c r="I6" s="314"/>
      <c r="J6" s="314"/>
    </row>
    <row r="7" customFormat="false" ht="31.5" hidden="false" customHeight="true" outlineLevel="0" collapsed="false">
      <c r="A7" s="314"/>
      <c r="B7" s="113" t="s">
        <v>3439</v>
      </c>
      <c r="C7" s="782" t="n">
        <f aca="false">'Academy · Revenue'!E17</f>
        <v>1595070</v>
      </c>
      <c r="D7" s="1155" t="n">
        <f aca="false">'Academy · Costs'!C24</f>
        <v>513022</v>
      </c>
      <c r="E7" s="577" t="n">
        <f aca="false">'Academy · Costs'!C37</f>
        <v>1082048</v>
      </c>
      <c r="F7" s="1156" t="n">
        <f aca="false">'Academy · Costs'!C37/'Academy · Revenue'!E17</f>
        <v>0.678370228265844</v>
      </c>
      <c r="G7" s="314"/>
      <c r="H7" s="1157" t="str">
        <f aca="false">UPPER('Exec Summary'!$H$7)</f>
        <v>BASE</v>
      </c>
      <c r="I7" s="314"/>
      <c r="J7" s="314"/>
    </row>
    <row r="8" customFormat="false" ht="15" hidden="false" customHeight="true" outlineLevel="0" collapsed="false">
      <c r="A8" s="314"/>
      <c r="B8" s="317"/>
      <c r="C8" s="317"/>
      <c r="D8" s="317"/>
      <c r="E8" s="314"/>
      <c r="F8" s="314"/>
      <c r="G8" s="314"/>
      <c r="H8" s="107" t="s">
        <v>3440</v>
      </c>
      <c r="I8" s="314"/>
      <c r="J8" s="314"/>
    </row>
    <row r="9" customFormat="false" ht="15" hidden="false" customHeight="true" outlineLevel="0" collapsed="false">
      <c r="A9" s="314"/>
      <c r="B9" s="317"/>
      <c r="C9" s="317"/>
      <c r="D9" s="317"/>
      <c r="E9" s="314"/>
      <c r="F9" s="314"/>
      <c r="G9" s="314"/>
      <c r="H9" s="1158" t="s">
        <v>3441</v>
      </c>
      <c r="I9" s="1159" t="n">
        <f aca="false">IF($H$7="BEAR",0.6,IF($H$7="BULL",1.5,1))</f>
        <v>1</v>
      </c>
      <c r="J9" s="314"/>
    </row>
    <row r="10" customFormat="false" ht="21.75" hidden="false" customHeight="true" outlineLevel="0" collapsed="false">
      <c r="A10" s="314"/>
      <c r="B10" s="317"/>
      <c r="C10" s="317"/>
      <c r="D10" s="317"/>
      <c r="E10" s="314"/>
      <c r="F10" s="314"/>
      <c r="G10" s="314"/>
      <c r="H10" s="314"/>
      <c r="I10" s="314"/>
      <c r="J10" s="314"/>
    </row>
    <row r="11" customFormat="false" ht="21.75" hidden="false" customHeight="true" outlineLevel="0" collapsed="false">
      <c r="A11" s="314"/>
      <c r="B11" s="575" t="s">
        <v>3443</v>
      </c>
      <c r="C11" s="575"/>
      <c r="D11" s="575"/>
      <c r="E11" s="575"/>
      <c r="F11" s="575"/>
      <c r="G11" s="575"/>
      <c r="H11" s="107" t="s">
        <v>3444</v>
      </c>
      <c r="I11" s="544" t="n">
        <f aca="false">'Academy · Revenue'!E17*I9</f>
        <v>1595070</v>
      </c>
      <c r="J11" s="314"/>
    </row>
    <row r="12" customFormat="false" ht="21.75" hidden="false" customHeight="true" outlineLevel="0" collapsed="false">
      <c r="A12" s="314"/>
      <c r="B12" s="97" t="s">
        <v>3445</v>
      </c>
      <c r="C12" s="99" t="s">
        <v>3446</v>
      </c>
      <c r="D12" s="99" t="s">
        <v>1052</v>
      </c>
      <c r="E12" s="314"/>
      <c r="F12" s="314"/>
      <c r="G12" s="314"/>
      <c r="H12" s="314"/>
      <c r="I12" s="314"/>
      <c r="J12" s="314"/>
    </row>
    <row r="13" customFormat="false" ht="15" hidden="false" customHeight="true" outlineLevel="0" collapsed="false">
      <c r="A13" s="314"/>
      <c r="B13" s="1160" t="s">
        <v>5381</v>
      </c>
      <c r="C13" s="1161" t="n">
        <f aca="false">'Academy · Revenue'!E7</f>
        <v>326430</v>
      </c>
      <c r="D13" s="572" t="n">
        <f aca="false">C13/'Academy · Revenue'!E17</f>
        <v>0.204649325734921</v>
      </c>
      <c r="E13" s="314"/>
      <c r="F13" s="314"/>
      <c r="G13" s="314"/>
      <c r="H13" s="314"/>
      <c r="I13" s="314"/>
      <c r="J13" s="314"/>
    </row>
    <row r="14" customFormat="false" ht="15" hidden="false" customHeight="true" outlineLevel="0" collapsed="false">
      <c r="A14" s="314"/>
      <c r="B14" s="1160" t="s">
        <v>5382</v>
      </c>
      <c r="C14" s="1161" t="n">
        <f aca="false">'Academy · Revenue'!E8</f>
        <v>17550</v>
      </c>
      <c r="D14" s="572" t="n">
        <f aca="false">C14/'Academy · Revenue'!E17</f>
        <v>0.0110026519212323</v>
      </c>
      <c r="E14" s="314"/>
      <c r="F14" s="314"/>
      <c r="G14" s="314"/>
      <c r="H14" s="314"/>
      <c r="I14" s="314"/>
      <c r="J14" s="314"/>
    </row>
    <row r="15" customFormat="false" ht="21.75" hidden="false" customHeight="true" outlineLevel="0" collapsed="false">
      <c r="A15" s="314"/>
      <c r="B15" s="1160" t="s">
        <v>5383</v>
      </c>
      <c r="C15" s="1161" t="n">
        <f aca="false">'Academy · Revenue'!E9</f>
        <v>888000</v>
      </c>
      <c r="D15" s="572" t="n">
        <f aca="false">C15/'Academy · Revenue'!E17</f>
        <v>0.556715379262352</v>
      </c>
      <c r="E15" s="314"/>
      <c r="F15" s="314"/>
      <c r="G15" s="314"/>
      <c r="H15" s="314"/>
      <c r="I15" s="314"/>
      <c r="J15" s="314"/>
    </row>
    <row r="16" customFormat="false" ht="18" hidden="false" customHeight="true" outlineLevel="0" collapsed="false">
      <c r="A16" s="314"/>
      <c r="B16" s="1160" t="s">
        <v>5384</v>
      </c>
      <c r="C16" s="1161" t="n">
        <f aca="false">'Academy · Revenue'!E10</f>
        <v>75600</v>
      </c>
      <c r="D16" s="572" t="n">
        <f aca="false">C16/'Academy · Revenue'!E17</f>
        <v>0.0473960390453084</v>
      </c>
      <c r="E16" s="314"/>
      <c r="F16" s="314"/>
      <c r="G16" s="314"/>
      <c r="H16" s="314"/>
      <c r="I16" s="314"/>
      <c r="J16" s="314"/>
    </row>
    <row r="17" customFormat="false" ht="18" hidden="false" customHeight="true" outlineLevel="0" collapsed="false">
      <c r="A17" s="314"/>
      <c r="B17" s="1160" t="s">
        <v>5385</v>
      </c>
      <c r="C17" s="1161" t="n">
        <f aca="false">'Academy · Revenue'!E11</f>
        <v>18000</v>
      </c>
      <c r="D17" s="572" t="n">
        <f aca="false">C17/'Academy · Revenue'!E17</f>
        <v>0.0112847712012639</v>
      </c>
      <c r="E17" s="314"/>
      <c r="F17" s="314"/>
      <c r="G17" s="314"/>
      <c r="H17" s="314"/>
      <c r="I17" s="314"/>
      <c r="J17" s="314"/>
    </row>
    <row r="18" customFormat="false" ht="18" hidden="false" customHeight="true" outlineLevel="0" collapsed="false">
      <c r="A18" s="314"/>
      <c r="B18" s="1160" t="s">
        <v>5386</v>
      </c>
      <c r="C18" s="1161" t="n">
        <f aca="false">'Academy · Revenue'!E12</f>
        <v>60840</v>
      </c>
      <c r="D18" s="572" t="n">
        <f aca="false">C18/'Academy · Revenue'!E17</f>
        <v>0.038142526660272</v>
      </c>
      <c r="E18" s="314"/>
      <c r="F18" s="314"/>
      <c r="G18" s="314"/>
      <c r="H18" s="314"/>
      <c r="I18" s="314"/>
      <c r="J18" s="314"/>
    </row>
    <row r="19" customFormat="false" ht="18" hidden="false" customHeight="true" outlineLevel="0" collapsed="false">
      <c r="A19" s="314"/>
      <c r="B19" s="1160" t="s">
        <v>5387</v>
      </c>
      <c r="C19" s="1161" t="n">
        <f aca="false">'Academy · Revenue'!E13</f>
        <v>16050</v>
      </c>
      <c r="D19" s="572" t="n">
        <f aca="false">C19/'Academy · Revenue'!E17</f>
        <v>0.010062254321127</v>
      </c>
      <c r="E19" s="314"/>
      <c r="F19" s="314"/>
      <c r="G19" s="314"/>
      <c r="H19" s="314"/>
      <c r="I19" s="314"/>
      <c r="J19" s="314"/>
    </row>
    <row r="20" customFormat="false" ht="24" hidden="false" customHeight="true" outlineLevel="0" collapsed="false">
      <c r="A20" s="314"/>
      <c r="B20" s="117" t="s">
        <v>3455</v>
      </c>
      <c r="C20" s="546" t="n">
        <f aca="false">'Academy · Revenue'!E17</f>
        <v>1595070</v>
      </c>
      <c r="D20" s="1162" t="n">
        <v>1</v>
      </c>
      <c r="E20" s="314"/>
      <c r="F20" s="314"/>
      <c r="G20" s="314"/>
      <c r="H20" s="314"/>
      <c r="I20" s="314"/>
      <c r="J20" s="314"/>
    </row>
    <row r="21" customFormat="false" ht="18" hidden="false" customHeight="true" outlineLevel="0" collapsed="false">
      <c r="A21" s="314"/>
      <c r="B21" s="317"/>
      <c r="C21" s="317"/>
      <c r="D21" s="317"/>
      <c r="E21" s="314"/>
      <c r="F21" s="314"/>
      <c r="G21" s="314"/>
      <c r="H21" s="314"/>
      <c r="I21" s="314"/>
      <c r="J21" s="314"/>
    </row>
    <row r="22" customFormat="false" ht="18" hidden="false" customHeight="true" outlineLevel="0" collapsed="false">
      <c r="A22" s="314"/>
      <c r="B22" s="317"/>
      <c r="C22" s="317"/>
      <c r="D22" s="317"/>
      <c r="E22" s="314"/>
      <c r="F22" s="314"/>
      <c r="G22" s="314"/>
      <c r="H22" s="314"/>
      <c r="I22" s="314"/>
      <c r="J22" s="314"/>
    </row>
    <row r="23" customFormat="false" ht="21.75" hidden="false" customHeight="true" outlineLevel="0" collapsed="false">
      <c r="A23" s="314"/>
      <c r="B23" s="575" t="s">
        <v>3456</v>
      </c>
      <c r="C23" s="575"/>
      <c r="D23" s="575"/>
      <c r="E23" s="575"/>
      <c r="F23" s="575"/>
      <c r="G23" s="575"/>
      <c r="H23" s="575"/>
      <c r="I23" s="575"/>
      <c r="J23" s="314"/>
    </row>
    <row r="24" customFormat="false" ht="21.75" hidden="false" customHeight="true" outlineLevel="0" collapsed="false">
      <c r="A24" s="314"/>
      <c r="B24" s="113" t="s">
        <v>3457</v>
      </c>
      <c r="C24" s="1161" t="n">
        <f aca="false">'Academy · 8-Year'!C11</f>
        <v>1276056</v>
      </c>
      <c r="D24" s="317"/>
      <c r="E24" s="314"/>
      <c r="F24" s="314"/>
      <c r="G24" s="314"/>
      <c r="H24" s="314"/>
      <c r="I24" s="314"/>
      <c r="J24" s="314"/>
    </row>
    <row r="25" customFormat="false" ht="18" hidden="false" customHeight="true" outlineLevel="0" collapsed="false">
      <c r="A25" s="314"/>
      <c r="B25" s="113" t="s">
        <v>3458</v>
      </c>
      <c r="C25" s="1161" t="n">
        <f aca="false">'Academy · 8-Year'!F11</f>
        <v>1742976.05589</v>
      </c>
      <c r="D25" s="317"/>
      <c r="E25" s="314"/>
      <c r="F25" s="314"/>
      <c r="G25" s="314"/>
      <c r="H25" s="314"/>
      <c r="I25" s="314"/>
      <c r="J25" s="314"/>
    </row>
    <row r="26" customFormat="false" ht="18" hidden="false" customHeight="true" outlineLevel="0" collapsed="false">
      <c r="A26" s="314"/>
      <c r="B26" s="113" t="s">
        <v>3459</v>
      </c>
      <c r="C26" s="1161" t="n">
        <f aca="false">'Academy · 8-Year'!J11</f>
        <v>2059821.65184941</v>
      </c>
      <c r="D26" s="317"/>
      <c r="E26" s="314"/>
      <c r="F26" s="314"/>
      <c r="G26" s="314"/>
      <c r="H26" s="314"/>
      <c r="I26" s="314"/>
      <c r="J26" s="314"/>
    </row>
    <row r="27" customFormat="false" ht="18" hidden="false" customHeight="true" outlineLevel="0" collapsed="false">
      <c r="A27" s="314"/>
      <c r="B27" s="81" t="s">
        <v>3460</v>
      </c>
      <c r="C27" s="782" t="n">
        <f aca="false">'Academy · 8-Year'!K11</f>
        <v>13986365.0073402</v>
      </c>
      <c r="D27" s="317"/>
      <c r="E27" s="314"/>
      <c r="F27" s="314"/>
      <c r="G27" s="314"/>
      <c r="H27" s="314"/>
      <c r="I27" s="314"/>
      <c r="J27" s="314"/>
    </row>
    <row r="28" customFormat="false" ht="15" hidden="false" customHeight="true" outlineLevel="0" collapsed="false">
      <c r="A28" s="314"/>
      <c r="B28" s="81" t="s">
        <v>3461</v>
      </c>
      <c r="C28" s="1163" t="n">
        <f aca="false">'Academy · 8-Year'!K20</f>
        <v>9440793.93113531</v>
      </c>
      <c r="D28" s="317"/>
      <c r="E28" s="314"/>
      <c r="F28" s="314"/>
      <c r="G28" s="314"/>
      <c r="H28" s="314"/>
      <c r="I28" s="314"/>
      <c r="J28" s="314"/>
    </row>
    <row r="29" customFormat="false" ht="48.75" hidden="false" customHeight="true" outlineLevel="0" collapsed="false">
      <c r="A29" s="314"/>
      <c r="B29" s="1164" t="s">
        <v>3462</v>
      </c>
      <c r="C29" s="1165" t="n">
        <f aca="false">('Academy · 8-Year'!J11/'Academy · 8-Year'!C11)^(1/7)-1</f>
        <v>0.0708004745979443</v>
      </c>
      <c r="D29" s="317"/>
      <c r="E29" s="314"/>
      <c r="F29" s="314"/>
      <c r="G29" s="314"/>
      <c r="H29" s="314"/>
      <c r="I29" s="314"/>
      <c r="J29" s="314"/>
    </row>
    <row r="30" customFormat="false" ht="93.75" hidden="false" customHeight="true" outlineLevel="0" collapsed="false">
      <c r="A30" s="314"/>
      <c r="B30" s="907" t="s">
        <v>3463</v>
      </c>
      <c r="C30" s="317"/>
      <c r="D30" s="317"/>
      <c r="E30" s="314"/>
      <c r="F30" s="314"/>
      <c r="G30" s="314"/>
      <c r="H30" s="314"/>
      <c r="I30" s="314"/>
      <c r="J30" s="314"/>
    </row>
    <row r="31" customFormat="false" ht="21.75" hidden="false" customHeight="true" outlineLevel="0" collapsed="false">
      <c r="A31" s="314"/>
      <c r="B31" s="96" t="s">
        <v>4504</v>
      </c>
      <c r="C31" s="96"/>
      <c r="D31" s="96"/>
      <c r="E31" s="96"/>
      <c r="F31" s="96"/>
      <c r="G31" s="96"/>
      <c r="H31" s="96"/>
      <c r="I31" s="96"/>
      <c r="J31" s="314"/>
    </row>
    <row r="32" customFormat="false" ht="21.75" hidden="false" customHeight="true" outlineLevel="0" collapsed="false">
      <c r="B32" s="97" t="s">
        <v>3465</v>
      </c>
      <c r="C32" s="319" t="s">
        <v>3466</v>
      </c>
      <c r="D32" s="319"/>
      <c r="E32" s="319"/>
      <c r="F32" s="319"/>
      <c r="G32" s="319"/>
      <c r="H32" s="319"/>
    </row>
    <row r="33" customFormat="false" ht="48.75" hidden="false" customHeight="true" outlineLevel="0" collapsed="false">
      <c r="B33" s="1160" t="s">
        <v>4505</v>
      </c>
      <c r="C33" s="134" t="s">
        <v>4506</v>
      </c>
      <c r="D33" s="134"/>
      <c r="E33" s="134"/>
      <c r="F33" s="134"/>
      <c r="G33" s="134"/>
      <c r="H33" s="134"/>
    </row>
    <row r="34" customFormat="false" ht="48.75" hidden="false" customHeight="true" outlineLevel="0" collapsed="false">
      <c r="B34" s="1160" t="s">
        <v>4507</v>
      </c>
      <c r="C34" s="134" t="s">
        <v>4508</v>
      </c>
      <c r="D34" s="134"/>
      <c r="E34" s="134"/>
      <c r="F34" s="134"/>
      <c r="G34" s="134"/>
      <c r="H34" s="134"/>
    </row>
    <row r="35" customFormat="false" ht="63.75" hidden="false" customHeight="true" outlineLevel="0" collapsed="false">
      <c r="B35" s="1160" t="s">
        <v>2487</v>
      </c>
      <c r="C35" s="134" t="s">
        <v>4509</v>
      </c>
      <c r="D35" s="134"/>
      <c r="E35" s="134"/>
      <c r="F35" s="134"/>
      <c r="G35" s="134"/>
      <c r="H35" s="134"/>
    </row>
    <row r="36" customFormat="false" ht="63.75" hidden="false" customHeight="true" outlineLevel="0" collapsed="false">
      <c r="B36" s="1160" t="s">
        <v>4510</v>
      </c>
      <c r="C36" s="134" t="s">
        <v>4511</v>
      </c>
      <c r="D36" s="134"/>
      <c r="E36" s="134"/>
      <c r="F36" s="134"/>
      <c r="G36" s="134"/>
      <c r="H36" s="134"/>
    </row>
    <row r="37" customFormat="false" ht="63.75" hidden="false" customHeight="true" outlineLevel="0" collapsed="false">
      <c r="B37" s="1160" t="s">
        <v>4512</v>
      </c>
      <c r="C37" s="134" t="s">
        <v>4513</v>
      </c>
      <c r="D37" s="134"/>
      <c r="E37" s="134"/>
      <c r="F37" s="134"/>
      <c r="G37" s="134"/>
      <c r="H37" s="134"/>
    </row>
    <row r="38" customFormat="false" ht="48.75" hidden="false" customHeight="true" outlineLevel="0" collapsed="false">
      <c r="B38" s="1160" t="s">
        <v>4514</v>
      </c>
      <c r="C38" s="134" t="s">
        <v>4515</v>
      </c>
      <c r="D38" s="134"/>
      <c r="E38" s="134"/>
      <c r="F38" s="134"/>
      <c r="G38" s="134"/>
      <c r="H38" s="134"/>
    </row>
    <row r="39" customFormat="false" ht="63.75" hidden="false" customHeight="true" outlineLevel="0" collapsed="false">
      <c r="B39" s="1160" t="s">
        <v>4516</v>
      </c>
      <c r="C39" s="134" t="s">
        <v>3480</v>
      </c>
      <c r="D39" s="134"/>
      <c r="E39" s="134"/>
      <c r="F39" s="134"/>
      <c r="G39" s="134"/>
      <c r="H39" s="134"/>
    </row>
    <row r="40" customFormat="false" ht="48.75" hidden="false" customHeight="true" outlineLevel="0" collapsed="false">
      <c r="B40" s="1160" t="s">
        <v>4517</v>
      </c>
      <c r="C40" s="134" t="s">
        <v>4518</v>
      </c>
      <c r="D40" s="134"/>
      <c r="E40" s="134"/>
      <c r="F40" s="134"/>
      <c r="G40" s="134"/>
      <c r="H40" s="134"/>
    </row>
    <row r="41" customFormat="false" ht="48.75" hidden="false" customHeight="true" outlineLevel="0" collapsed="false">
      <c r="B41" s="1160" t="s">
        <v>4519</v>
      </c>
      <c r="C41" s="134" t="s">
        <v>3484</v>
      </c>
      <c r="D41" s="134"/>
      <c r="E41" s="134"/>
      <c r="F41" s="134"/>
      <c r="G41" s="134"/>
      <c r="H41" s="134"/>
    </row>
    <row r="42" customFormat="false" ht="63.75" hidden="false" customHeight="true" outlineLevel="0" collapsed="false">
      <c r="B42" s="1160" t="s">
        <v>4520</v>
      </c>
      <c r="C42" s="134" t="s">
        <v>4521</v>
      </c>
      <c r="D42" s="134"/>
      <c r="E42" s="134"/>
      <c r="F42" s="134"/>
      <c r="G42" s="134"/>
      <c r="H42" s="134"/>
    </row>
    <row r="43" customFormat="false" ht="48.75" hidden="false" customHeight="true" outlineLevel="0" collapsed="false">
      <c r="B43" s="1160" t="s">
        <v>4136</v>
      </c>
      <c r="C43" s="134" t="s">
        <v>4522</v>
      </c>
      <c r="D43" s="134"/>
      <c r="E43" s="134"/>
      <c r="F43" s="134"/>
      <c r="G43" s="134"/>
      <c r="H43" s="134"/>
    </row>
    <row r="44" customFormat="false" ht="48.75" hidden="false" customHeight="true" outlineLevel="0" collapsed="false">
      <c r="B44" s="1160" t="s">
        <v>4523</v>
      </c>
      <c r="C44" s="134" t="s">
        <v>4524</v>
      </c>
      <c r="D44" s="134"/>
      <c r="E44" s="134"/>
      <c r="F44" s="134"/>
      <c r="G44" s="134"/>
      <c r="H44" s="134"/>
    </row>
    <row r="45" customFormat="false" ht="48.75" hidden="false" customHeight="true" outlineLevel="0" collapsed="false">
      <c r="B45" s="1160" t="s">
        <v>4525</v>
      </c>
      <c r="C45" s="134" t="s">
        <v>3492</v>
      </c>
      <c r="D45" s="134"/>
      <c r="E45" s="134"/>
      <c r="F45" s="134"/>
      <c r="G45" s="134"/>
      <c r="H45" s="134"/>
    </row>
    <row r="46" customFormat="false" ht="48.75" hidden="false" customHeight="true" outlineLevel="0" collapsed="false">
      <c r="B46" s="1160" t="s">
        <v>4526</v>
      </c>
      <c r="C46" s="134" t="s">
        <v>4527</v>
      </c>
      <c r="D46" s="134"/>
      <c r="E46" s="134"/>
      <c r="F46" s="134"/>
      <c r="G46" s="134"/>
      <c r="H46" s="134"/>
    </row>
    <row r="47" customFormat="false" ht="15.75" hidden="false" customHeight="true" outlineLevel="0" collapsed="false">
      <c r="B47" s="1160" t="s">
        <v>4528</v>
      </c>
      <c r="C47" s="134" t="s">
        <v>3496</v>
      </c>
      <c r="D47" s="134"/>
      <c r="E47" s="134"/>
      <c r="F47" s="134"/>
      <c r="G47" s="134"/>
      <c r="H47" s="134"/>
    </row>
    <row r="48" customFormat="false" ht="63.75" hidden="false" customHeight="true" outlineLevel="0" collapsed="false">
      <c r="B48" s="1160" t="s">
        <v>4529</v>
      </c>
      <c r="C48" s="134" t="s">
        <v>3498</v>
      </c>
      <c r="D48" s="134"/>
      <c r="E48" s="134"/>
      <c r="F48" s="134"/>
      <c r="G48" s="134"/>
      <c r="H48" s="134"/>
    </row>
    <row r="49" customFormat="false" ht="15" hidden="false" customHeight="true" outlineLevel="0" collapsed="false">
      <c r="B49" s="6"/>
      <c r="C49" s="6"/>
      <c r="D49" s="6"/>
    </row>
    <row r="50" customFormat="false" ht="15" hidden="false" customHeight="true" outlineLevel="0" collapsed="false">
      <c r="B50" s="6"/>
      <c r="C50" s="6"/>
      <c r="D50" s="6"/>
    </row>
    <row r="51" customFormat="false" ht="33.75" hidden="false" customHeight="true" outlineLevel="0" collapsed="false">
      <c r="B51" s="96" t="s">
        <v>4530</v>
      </c>
      <c r="C51" s="96"/>
      <c r="D51" s="96"/>
      <c r="E51" s="96"/>
      <c r="F51" s="96"/>
      <c r="G51" s="96"/>
      <c r="H51" s="96"/>
      <c r="I51" s="96"/>
    </row>
    <row r="52" customFormat="false" ht="21.75" hidden="false" customHeight="true" outlineLevel="0" collapsed="false">
      <c r="B52" s="97" t="s">
        <v>206</v>
      </c>
      <c r="C52" s="99" t="s">
        <v>614</v>
      </c>
      <c r="D52" s="99" t="s">
        <v>4531</v>
      </c>
      <c r="E52" s="98" t="s">
        <v>5388</v>
      </c>
      <c r="F52" s="98" t="s">
        <v>778</v>
      </c>
    </row>
    <row r="53" customFormat="false" ht="15" hidden="false" customHeight="true" outlineLevel="0" collapsed="false">
      <c r="B53" s="113" t="s">
        <v>3502</v>
      </c>
      <c r="C53" s="1161" t="n">
        <f aca="false">'Academy · Revenue'!E17</f>
        <v>1595070</v>
      </c>
      <c r="D53" s="386" t="n">
        <f aca="false">SUM('Master Revenue'!D7:D15)</f>
        <v>6672022.15</v>
      </c>
      <c r="E53" s="1166" t="n">
        <f aca="false">C53/D53</f>
        <v>0.239068450934324</v>
      </c>
      <c r="F53" s="107" t="s">
        <v>4533</v>
      </c>
    </row>
    <row r="54" customFormat="false" ht="15" hidden="false" customHeight="true" outlineLevel="0" collapsed="false">
      <c r="B54" s="113" t="s">
        <v>3504</v>
      </c>
      <c r="C54" s="1161" t="n">
        <f aca="false">'Academy · Costs'!C37</f>
        <v>1082048</v>
      </c>
      <c r="D54" s="386" t="n">
        <f aca="false">SUM('Master Cost'!I7:I15)</f>
        <v>4022722.921025</v>
      </c>
      <c r="E54" s="1166" t="n">
        <f aca="false">C54/D54</f>
        <v>0.26898397459706</v>
      </c>
      <c r="F54" s="107" t="s">
        <v>4534</v>
      </c>
    </row>
    <row r="55" customFormat="false" ht="15" hidden="false" customHeight="true" outlineLevel="0" collapsed="false">
      <c r="B55" s="113" t="s">
        <v>3460</v>
      </c>
      <c r="C55" s="1161" t="n">
        <f aca="false">'Academy · 8-Year'!K11</f>
        <v>13986365.0073402</v>
      </c>
      <c r="D55" s="104" t="s">
        <v>4535</v>
      </c>
      <c r="F55" s="107" t="s">
        <v>4536</v>
      </c>
    </row>
    <row r="56" customFormat="false" ht="15" hidden="false" customHeight="true" outlineLevel="0" collapsed="false">
      <c r="B56" s="6"/>
      <c r="C56" s="6"/>
      <c r="D56" s="6"/>
    </row>
    <row r="57" customFormat="false" ht="21.75" hidden="false" customHeight="true" outlineLevel="0" collapsed="false">
      <c r="B57" s="96" t="s">
        <v>3506</v>
      </c>
      <c r="C57" s="96"/>
      <c r="D57" s="96"/>
      <c r="E57" s="96"/>
      <c r="F57" s="96"/>
      <c r="G57" s="96"/>
      <c r="H57" s="96"/>
      <c r="I57" s="96"/>
    </row>
    <row r="58" customFormat="false" ht="21.75" hidden="false" customHeight="true" outlineLevel="0" collapsed="false">
      <c r="B58" s="97" t="s">
        <v>3507</v>
      </c>
      <c r="C58" s="99" t="s">
        <v>393</v>
      </c>
      <c r="D58" s="319" t="s">
        <v>3508</v>
      </c>
      <c r="E58" s="319"/>
      <c r="F58" s="319"/>
      <c r="G58" s="319"/>
      <c r="H58" s="319"/>
    </row>
    <row r="59" customFormat="false" ht="48.75" hidden="false" customHeight="true" outlineLevel="0" collapsed="false">
      <c r="B59" s="113" t="s">
        <v>4537</v>
      </c>
      <c r="C59" s="1167" t="n">
        <v>1200000</v>
      </c>
      <c r="D59" s="134" t="s">
        <v>4538</v>
      </c>
      <c r="E59" s="134"/>
      <c r="F59" s="134"/>
      <c r="G59" s="134"/>
      <c r="H59" s="134"/>
    </row>
    <row r="60" customFormat="false" ht="15" hidden="false" customHeight="true" outlineLevel="0" collapsed="false">
      <c r="B60" s="126" t="s">
        <v>3511</v>
      </c>
      <c r="C60" s="1161" t="n">
        <f aca="false">'Academy · Cash Flow'!K28</f>
        <v>9008693.13905797</v>
      </c>
      <c r="D60" s="134" t="s">
        <v>3512</v>
      </c>
      <c r="E60" s="134"/>
      <c r="F60" s="134"/>
      <c r="G60" s="134"/>
      <c r="H60" s="134"/>
    </row>
    <row r="61" customFormat="false" ht="15" hidden="false" customHeight="true" outlineLevel="0" collapsed="false">
      <c r="B61" s="113" t="s">
        <v>3513</v>
      </c>
      <c r="C61" s="1161" t="n">
        <f aca="false">'Academy · Cash Flow'!F28</f>
        <v>1143768.1519883</v>
      </c>
      <c r="D61" s="134" t="s">
        <v>3514</v>
      </c>
      <c r="E61" s="134"/>
      <c r="F61" s="134"/>
      <c r="G61" s="134"/>
      <c r="H61" s="134"/>
    </row>
    <row r="62" customFormat="false" ht="15" hidden="false" customHeight="true" outlineLevel="0" collapsed="false">
      <c r="B62" s="6"/>
      <c r="C62" s="6"/>
      <c r="D62" s="6"/>
    </row>
    <row r="63" customFormat="false" ht="15" hidden="false" customHeight="true" outlineLevel="0" collapsed="false">
      <c r="B63" s="113" t="s">
        <v>3515</v>
      </c>
      <c r="C63" s="1168" t="n">
        <f aca="false">C59/C61</f>
        <v>1.04916367702139</v>
      </c>
      <c r="D63" s="134" t="s">
        <v>3516</v>
      </c>
      <c r="E63" s="134"/>
      <c r="F63" s="134"/>
      <c r="G63" s="134"/>
      <c r="H63" s="134"/>
    </row>
    <row r="64" customFormat="false" ht="15" hidden="false" customHeight="true" outlineLevel="0" collapsed="false">
      <c r="B64" s="113" t="s">
        <v>3517</v>
      </c>
      <c r="C64" s="1169" t="n">
        <f aca="false">C61/C59</f>
        <v>0.953140126656915</v>
      </c>
      <c r="D64" s="134" t="s">
        <v>3518</v>
      </c>
      <c r="E64" s="134"/>
      <c r="F64" s="134"/>
      <c r="G64" s="134"/>
      <c r="H64" s="134"/>
    </row>
    <row r="65" customFormat="false" ht="15" hidden="false" customHeight="true" outlineLevel="0" collapsed="false">
      <c r="B65" s="113" t="s">
        <v>3519</v>
      </c>
      <c r="C65" s="1170" t="n">
        <f aca="false">(C60+C59)/C59</f>
        <v>8.50724428254831</v>
      </c>
      <c r="D65" s="134" t="s">
        <v>3520</v>
      </c>
      <c r="E65" s="134"/>
      <c r="F65" s="134"/>
      <c r="G65" s="134"/>
      <c r="H65" s="134"/>
    </row>
    <row r="66" customFormat="false" ht="15" hidden="false" customHeight="true" outlineLevel="0" collapsed="false">
      <c r="B66" s="113" t="s">
        <v>3523</v>
      </c>
      <c r="C66" s="1169" t="n">
        <f aca="false">C60/C59</f>
        <v>7.50724428254831</v>
      </c>
      <c r="D66" s="134" t="s">
        <v>3524</v>
      </c>
      <c r="E66" s="134"/>
      <c r="F66" s="134"/>
      <c r="G66" s="134"/>
      <c r="H66" s="134"/>
    </row>
    <row r="67" customFormat="false" ht="15" hidden="false" customHeight="true" outlineLevel="0" collapsed="false">
      <c r="B67" s="6"/>
      <c r="C67" s="6"/>
      <c r="D67" s="6"/>
    </row>
    <row r="68" customFormat="false" ht="15" hidden="false" customHeight="true" outlineLevel="0" collapsed="false">
      <c r="B68" s="6"/>
      <c r="C68" s="6"/>
      <c r="D68" s="6"/>
    </row>
    <row r="69" customFormat="false" ht="21.75" hidden="false" customHeight="true" outlineLevel="0" collapsed="false">
      <c r="B69" s="43" t="s">
        <v>4539</v>
      </c>
      <c r="C69" s="43"/>
      <c r="D69" s="43"/>
      <c r="E69" s="43"/>
      <c r="F69" s="43"/>
      <c r="G69" s="43"/>
      <c r="H69" s="43"/>
      <c r="I69" s="43"/>
    </row>
    <row r="70" customFormat="false" ht="63.75" hidden="false" customHeight="true" outlineLevel="0" collapsed="false">
      <c r="B70" s="1171" t="s">
        <v>5389</v>
      </c>
      <c r="C70" s="1171"/>
      <c r="D70" s="1171"/>
      <c r="E70" s="1171"/>
      <c r="F70" s="1171"/>
      <c r="G70" s="1171"/>
      <c r="H70" s="1171"/>
      <c r="I70" s="1171"/>
    </row>
  </sheetData>
  <mergeCells count="36">
    <mergeCell ref="B2:F2"/>
    <mergeCell ref="G2:I2"/>
    <mergeCell ref="B3:I3"/>
    <mergeCell ref="B5:G5"/>
    <mergeCell ref="B11:G11"/>
    <mergeCell ref="B23:I23"/>
    <mergeCell ref="B31:I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B51:I51"/>
    <mergeCell ref="B57:I57"/>
    <mergeCell ref="D58:H58"/>
    <mergeCell ref="D59:H59"/>
    <mergeCell ref="D60:H60"/>
    <mergeCell ref="D61:H61"/>
    <mergeCell ref="D63:H63"/>
    <mergeCell ref="D64:H64"/>
    <mergeCell ref="D65:H65"/>
    <mergeCell ref="D66:H66"/>
    <mergeCell ref="B69:I69"/>
    <mergeCell ref="B70:I7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O2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209" activePane="bottomRight" state="frozen"/>
      <selection pane="topLeft" activeCell="A1" activeCellId="0" sqref="A1"/>
      <selection pane="topRight" activeCell="C1" activeCellId="0" sqref="C1"/>
      <selection pane="bottomLeft" activeCell="A209" activeCellId="0" sqref="A209"/>
      <selection pane="bottomRight" activeCell="C81" activeCellId="0" sqref="C8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5" min="3" style="0" width="11"/>
  </cols>
  <sheetData>
    <row r="1" customFormat="false" ht="3.75" hidden="false" customHeight="true" outlineLevel="0" collapsed="false">
      <c r="B1" s="1"/>
      <c r="C1" s="2"/>
      <c r="D1" s="2"/>
      <c r="E1" s="1"/>
      <c r="F1" s="2"/>
      <c r="G1" s="2"/>
      <c r="H1" s="2"/>
      <c r="I1" s="2"/>
      <c r="J1" s="2"/>
    </row>
    <row r="2" customFormat="false" ht="33.75" hidden="false" customHeight="true" outlineLevel="0" collapsed="false">
      <c r="B2" s="878" t="s">
        <v>5390</v>
      </c>
      <c r="C2" s="878"/>
      <c r="D2" s="878"/>
      <c r="E2" s="878"/>
      <c r="F2" s="878"/>
      <c r="G2" s="89" t="s">
        <v>3432</v>
      </c>
      <c r="H2" s="89"/>
      <c r="I2" s="89"/>
      <c r="J2" s="89"/>
    </row>
    <row r="3" customFormat="false" ht="33.75" hidden="false" customHeight="true" outlineLevel="0" collapsed="false">
      <c r="B3" s="90" t="s">
        <v>5391</v>
      </c>
      <c r="C3" s="90"/>
      <c r="D3" s="90"/>
      <c r="E3" s="90"/>
      <c r="F3" s="90"/>
      <c r="G3" s="90"/>
      <c r="H3" s="90"/>
      <c r="I3" s="90"/>
      <c r="J3" s="90"/>
    </row>
    <row r="4" customFormat="false" ht="19.5" hidden="false" customHeight="true" outlineLevel="0" collapsed="false">
      <c r="B4" s="6"/>
      <c r="E4" s="6"/>
      <c r="G4" s="367" t="s">
        <v>4543</v>
      </c>
      <c r="H4" s="367"/>
    </row>
    <row r="5" customFormat="false" ht="33.75" hidden="false" customHeight="true" outlineLevel="0" collapsed="false">
      <c r="B5" s="96" t="s">
        <v>4544</v>
      </c>
      <c r="C5" s="96"/>
      <c r="D5" s="96"/>
      <c r="E5" s="96"/>
      <c r="G5" s="919" t="str">
        <f aca="false">PROPER('Academy · SUMMARY'!H7)</f>
        <v>Base</v>
      </c>
      <c r="H5" s="565" t="s">
        <v>4545</v>
      </c>
    </row>
    <row r="6" customFormat="false" ht="19.5" hidden="false" customHeight="true" outlineLevel="0" collapsed="false">
      <c r="B6" s="97" t="s">
        <v>392</v>
      </c>
      <c r="C6" s="675" t="s">
        <v>2444</v>
      </c>
      <c r="D6" s="676" t="s">
        <v>203</v>
      </c>
      <c r="E6" s="678" t="s">
        <v>2445</v>
      </c>
    </row>
    <row r="7" customFormat="false" ht="16.5" hidden="false" customHeight="true" outlineLevel="0" collapsed="false">
      <c r="B7" s="113" t="s">
        <v>5392</v>
      </c>
      <c r="C7" s="923" t="n">
        <v>0.765</v>
      </c>
      <c r="D7" s="924" t="n">
        <v>0.9</v>
      </c>
      <c r="E7" s="925" t="n">
        <v>0.99</v>
      </c>
      <c r="H7" s="565" t="s">
        <v>5393</v>
      </c>
    </row>
    <row r="8" customFormat="false" ht="16.5" hidden="false" customHeight="true" outlineLevel="0" collapsed="false">
      <c r="B8" s="126" t="s">
        <v>5394</v>
      </c>
      <c r="C8" s="1327" t="n">
        <v>0.045</v>
      </c>
      <c r="D8" s="1328" t="n">
        <v>0.05</v>
      </c>
      <c r="E8" s="1329" t="n">
        <v>0.054</v>
      </c>
      <c r="H8" s="565" t="s">
        <v>5395</v>
      </c>
    </row>
    <row r="9" customFormat="false" ht="16.5" hidden="false" customHeight="true" outlineLevel="0" collapsed="false">
      <c r="B9" s="113" t="s">
        <v>5396</v>
      </c>
      <c r="C9" s="1172" t="n">
        <v>9</v>
      </c>
      <c r="D9" s="1173" t="n">
        <v>10</v>
      </c>
      <c r="E9" s="1174" t="n">
        <v>9</v>
      </c>
      <c r="H9" s="565" t="s">
        <v>5397</v>
      </c>
    </row>
    <row r="10" customFormat="false" ht="16.5" hidden="false" customHeight="true" outlineLevel="0" collapsed="false">
      <c r="B10" s="126" t="s">
        <v>5398</v>
      </c>
      <c r="C10" s="927" t="n">
        <v>114.75</v>
      </c>
      <c r="D10" s="928" t="n">
        <v>135</v>
      </c>
      <c r="E10" s="929" t="n">
        <v>148.5</v>
      </c>
      <c r="H10" s="565" t="s">
        <v>5399</v>
      </c>
    </row>
    <row r="11" customFormat="false" ht="16.5" hidden="false" customHeight="true" outlineLevel="0" collapsed="false">
      <c r="B11" s="113" t="s">
        <v>5400</v>
      </c>
      <c r="C11" s="927" t="n">
        <v>212.5</v>
      </c>
      <c r="D11" s="928" t="n">
        <v>250</v>
      </c>
      <c r="E11" s="929" t="n">
        <v>275</v>
      </c>
      <c r="H11" s="565" t="s">
        <v>5401</v>
      </c>
    </row>
    <row r="12" customFormat="false" ht="16.5" hidden="false" customHeight="true" outlineLevel="0" collapsed="false">
      <c r="B12" s="113" t="s">
        <v>5402</v>
      </c>
      <c r="C12" s="1172" t="n">
        <v>2.55</v>
      </c>
      <c r="D12" s="1173" t="n">
        <v>3</v>
      </c>
      <c r="E12" s="1174" t="n">
        <v>3.3</v>
      </c>
      <c r="H12" s="565" t="s">
        <v>5403</v>
      </c>
    </row>
    <row r="13" customFormat="false" ht="16.5" hidden="false" customHeight="true" outlineLevel="0" collapsed="false">
      <c r="B13" s="113" t="s">
        <v>4580</v>
      </c>
      <c r="C13" s="1172" t="n">
        <v>24</v>
      </c>
      <c r="D13" s="1173" t="n">
        <v>26</v>
      </c>
      <c r="E13" s="1174" t="n">
        <v>28</v>
      </c>
      <c r="H13" s="565" t="s">
        <v>5404</v>
      </c>
    </row>
    <row r="14" customFormat="false" ht="16.5" hidden="false" customHeight="true" outlineLevel="0" collapsed="false">
      <c r="B14" s="113" t="s">
        <v>5405</v>
      </c>
      <c r="C14" s="1172" t="n">
        <v>17</v>
      </c>
      <c r="D14" s="1173" t="n">
        <v>20</v>
      </c>
      <c r="E14" s="1174" t="n">
        <v>18</v>
      </c>
      <c r="H14" s="565" t="s">
        <v>5406</v>
      </c>
    </row>
    <row r="15" customFormat="false" ht="16.5" hidden="false" customHeight="true" outlineLevel="0" collapsed="false">
      <c r="B15" s="113" t="s">
        <v>5407</v>
      </c>
      <c r="C15" s="927" t="n">
        <v>3145</v>
      </c>
      <c r="D15" s="928" t="n">
        <v>3700</v>
      </c>
      <c r="E15" s="929" t="n">
        <v>4070</v>
      </c>
      <c r="H15" s="565" t="s">
        <v>5408</v>
      </c>
    </row>
    <row r="16" customFormat="false" ht="16.5" hidden="false" customHeight="true" outlineLevel="0" collapsed="false">
      <c r="B16" s="113" t="s">
        <v>5409</v>
      </c>
      <c r="C16" s="1172" t="n">
        <v>59.5</v>
      </c>
      <c r="D16" s="1173" t="n">
        <v>70</v>
      </c>
      <c r="E16" s="1174" t="n">
        <v>40</v>
      </c>
      <c r="H16" s="565" t="s">
        <v>5410</v>
      </c>
    </row>
    <row r="17" customFormat="false" ht="16.5" hidden="false" customHeight="true" outlineLevel="0" collapsed="false">
      <c r="B17" s="113" t="s">
        <v>5411</v>
      </c>
      <c r="C17" s="927" t="n">
        <v>102</v>
      </c>
      <c r="D17" s="928" t="n">
        <v>120</v>
      </c>
      <c r="E17" s="929" t="n">
        <v>120</v>
      </c>
      <c r="H17" s="565" t="s">
        <v>5412</v>
      </c>
    </row>
    <row r="18" customFormat="false" ht="16.5" hidden="false" customHeight="true" outlineLevel="0" collapsed="false">
      <c r="B18" s="113" t="s">
        <v>5413</v>
      </c>
      <c r="C18" s="923" t="n">
        <v>0.675</v>
      </c>
      <c r="D18" s="924" t="n">
        <v>0.75</v>
      </c>
      <c r="E18" s="925" t="n">
        <v>0.8</v>
      </c>
      <c r="H18" s="565" t="s">
        <v>5414</v>
      </c>
    </row>
    <row r="19" customFormat="false" ht="16.5" hidden="false" customHeight="true" outlineLevel="0" collapsed="false">
      <c r="B19" s="113" t="s">
        <v>5415</v>
      </c>
      <c r="C19" s="1172" t="n">
        <v>85</v>
      </c>
      <c r="D19" s="1173" t="n">
        <v>100</v>
      </c>
      <c r="E19" s="1174" t="n">
        <v>110</v>
      </c>
      <c r="H19" s="565" t="s">
        <v>5416</v>
      </c>
    </row>
    <row r="20" customFormat="false" ht="16.5" hidden="false" customHeight="true" outlineLevel="0" collapsed="false">
      <c r="B20" s="113" t="s">
        <v>5417</v>
      </c>
      <c r="C20" s="927" t="n">
        <v>12.75</v>
      </c>
      <c r="D20" s="928" t="n">
        <v>15</v>
      </c>
      <c r="E20" s="929" t="n">
        <v>16.5</v>
      </c>
      <c r="H20" s="565" t="s">
        <v>5418</v>
      </c>
    </row>
    <row r="21" customFormat="false" ht="6" hidden="false" customHeight="true" outlineLevel="0" collapsed="false">
      <c r="B21" s="6"/>
      <c r="E21" s="6"/>
    </row>
    <row r="22" customFormat="false" ht="33.75" hidden="false" customHeight="true" outlineLevel="0" collapsed="false">
      <c r="B22" s="125" t="s">
        <v>4564</v>
      </c>
      <c r="C22" s="125"/>
      <c r="D22" s="125"/>
      <c r="E22" s="125"/>
      <c r="F22" s="125"/>
      <c r="G22" s="125"/>
      <c r="H22" s="125"/>
    </row>
    <row r="23" customFormat="false" ht="18" hidden="false" customHeight="true" outlineLevel="0" collapsed="false">
      <c r="B23" s="113" t="s">
        <v>5419</v>
      </c>
      <c r="C23" s="1330" t="n">
        <f aca="false">IF($G$5="Bear",C7,IF($G$5="Bull",E7,D7))</f>
        <v>0.9</v>
      </c>
      <c r="E23" s="6"/>
      <c r="H23" s="565" t="s">
        <v>5420</v>
      </c>
    </row>
    <row r="24" customFormat="false" ht="18" hidden="false" customHeight="true" outlineLevel="0" collapsed="false">
      <c r="B24" s="113" t="s">
        <v>5421</v>
      </c>
      <c r="C24" s="1331" t="n">
        <f aca="false">IF($G$5="Bear",C8,IF($G$5="Bull",E8,D8))</f>
        <v>0.05</v>
      </c>
      <c r="E24" s="6"/>
      <c r="H24" s="565" t="s">
        <v>5422</v>
      </c>
    </row>
    <row r="25" customFormat="false" ht="18" hidden="false" customHeight="true" outlineLevel="0" collapsed="false">
      <c r="B25" s="113" t="s">
        <v>5423</v>
      </c>
      <c r="C25" s="1175" t="n">
        <f aca="false">IF($G$5="Bear",C9,IF($G$5="Bull",E9,D9))</f>
        <v>10</v>
      </c>
      <c r="E25" s="6"/>
      <c r="H25" s="565" t="s">
        <v>5424</v>
      </c>
    </row>
    <row r="26" customFormat="false" ht="18" hidden="false" customHeight="true" outlineLevel="0" collapsed="false">
      <c r="B26" s="113" t="s">
        <v>5425</v>
      </c>
      <c r="C26" s="1176" t="n">
        <f aca="false">IF($G$5="Bear",C10,IF($G$5="Bull",E10,D10))</f>
        <v>135</v>
      </c>
      <c r="E26" s="6"/>
      <c r="H26" s="565" t="s">
        <v>5426</v>
      </c>
    </row>
    <row r="27" customFormat="false" ht="18" hidden="false" customHeight="true" outlineLevel="0" collapsed="false">
      <c r="B27" s="113" t="s">
        <v>5427</v>
      </c>
      <c r="C27" s="1176" t="n">
        <f aca="false">IF($G$5="Bear",C11,IF($G$5="Bull",E11,D11))</f>
        <v>250</v>
      </c>
      <c r="E27" s="6"/>
      <c r="H27" s="565" t="s">
        <v>5428</v>
      </c>
    </row>
    <row r="28" customFormat="false" ht="18" hidden="false" customHeight="true" outlineLevel="0" collapsed="false">
      <c r="B28" s="113" t="s">
        <v>5429</v>
      </c>
      <c r="C28" s="1175" t="n">
        <f aca="false">IF($G$5="Bear",C12,IF($G$5="Bull",E12,D12))</f>
        <v>3</v>
      </c>
      <c r="E28" s="6"/>
      <c r="H28" s="565" t="s">
        <v>5430</v>
      </c>
    </row>
    <row r="29" customFormat="false" ht="18" hidden="false" customHeight="true" outlineLevel="0" collapsed="false">
      <c r="B29" s="113" t="s">
        <v>5431</v>
      </c>
      <c r="C29" s="1175" t="n">
        <f aca="false">IF($G$5="Bear",C13,IF($G$5="Bull",E13,D13))</f>
        <v>26</v>
      </c>
      <c r="E29" s="6"/>
      <c r="H29" s="565" t="s">
        <v>5430</v>
      </c>
    </row>
    <row r="30" customFormat="false" ht="18" hidden="false" customHeight="true" outlineLevel="0" collapsed="false">
      <c r="B30" s="113" t="s">
        <v>5432</v>
      </c>
      <c r="C30" s="1175" t="n">
        <f aca="false">IF($G$5="Bear",C14,IF($G$5="Bull",E14,D14))</f>
        <v>20</v>
      </c>
      <c r="E30" s="6"/>
      <c r="H30" s="565" t="s">
        <v>5433</v>
      </c>
    </row>
    <row r="31" customFormat="false" ht="18" hidden="false" customHeight="true" outlineLevel="0" collapsed="false">
      <c r="B31" s="113" t="s">
        <v>5434</v>
      </c>
      <c r="C31" s="1176" t="n">
        <f aca="false">IF($G$5="Bear",C15,IF($G$5="Bull",E15,D15))</f>
        <v>3700</v>
      </c>
      <c r="E31" s="6"/>
      <c r="H31" s="565" t="s">
        <v>5433</v>
      </c>
    </row>
    <row r="32" customFormat="false" ht="18" hidden="false" customHeight="true" outlineLevel="0" collapsed="false">
      <c r="B32" s="113" t="s">
        <v>5435</v>
      </c>
      <c r="C32" s="1175" t="n">
        <f aca="false">IF($G$5="Bear",C16,IF($G$5="Bull",E16,D16))</f>
        <v>70</v>
      </c>
      <c r="E32" s="6"/>
      <c r="H32" s="565" t="s">
        <v>5436</v>
      </c>
    </row>
    <row r="33" customFormat="false" ht="18" hidden="false" customHeight="true" outlineLevel="0" collapsed="false">
      <c r="B33" s="113" t="s">
        <v>5437</v>
      </c>
      <c r="C33" s="1176" t="n">
        <f aca="false">IF($G$5="Bear",C17,IF($G$5="Bull",E17,D17))</f>
        <v>120</v>
      </c>
      <c r="E33" s="6"/>
      <c r="H33" s="565" t="s">
        <v>5436</v>
      </c>
    </row>
    <row r="34" customFormat="false" ht="18" hidden="false" customHeight="true" outlineLevel="0" collapsed="false">
      <c r="B34" s="113" t="s">
        <v>5438</v>
      </c>
      <c r="C34" s="1330" t="n">
        <f aca="false">IF($G$5="Bear",C18,IF($G$5="Bull",E18,D18))</f>
        <v>0.75</v>
      </c>
      <c r="E34" s="6"/>
      <c r="H34" s="565" t="s">
        <v>5436</v>
      </c>
    </row>
    <row r="35" customFormat="false" ht="18" hidden="false" customHeight="true" outlineLevel="0" collapsed="false">
      <c r="B35" s="113" t="s">
        <v>5439</v>
      </c>
      <c r="C35" s="1175" t="n">
        <f aca="false">IF($G$5="Bear",C19,IF($G$5="Bull",E19,D19))</f>
        <v>100</v>
      </c>
      <c r="E35" s="6"/>
      <c r="H35" s="565" t="s">
        <v>5440</v>
      </c>
    </row>
    <row r="36" customFormat="false" ht="18" hidden="false" customHeight="true" outlineLevel="0" collapsed="false">
      <c r="B36" s="113" t="s">
        <v>5441</v>
      </c>
      <c r="C36" s="1176" t="n">
        <f aca="false">IF($G$5="Bear",C20,IF($G$5="Bull",E20,D20))</f>
        <v>15</v>
      </c>
      <c r="E36" s="6"/>
      <c r="H36" s="565" t="s">
        <v>5440</v>
      </c>
    </row>
    <row r="37" customFormat="false" ht="6" hidden="false" customHeight="true" outlineLevel="0" collapsed="false">
      <c r="B37" s="6"/>
      <c r="E37" s="6"/>
    </row>
    <row r="38" customFormat="false" ht="33.75" hidden="false" customHeight="true" outlineLevel="0" collapsed="false">
      <c r="B38" s="125" t="s">
        <v>5442</v>
      </c>
      <c r="C38" s="125"/>
      <c r="D38" s="125"/>
      <c r="E38" s="125"/>
      <c r="F38" s="125"/>
      <c r="G38" s="125"/>
      <c r="H38" s="125"/>
    </row>
    <row r="39" customFormat="false" ht="16.5" hidden="false" customHeight="true" outlineLevel="0" collapsed="false">
      <c r="B39" s="126" t="s">
        <v>5443</v>
      </c>
      <c r="C39" s="1177" t="n">
        <v>3</v>
      </c>
      <c r="E39" s="6"/>
      <c r="H39" s="565" t="s">
        <v>5444</v>
      </c>
    </row>
    <row r="40" customFormat="false" ht="16.5" hidden="false" customHeight="true" outlineLevel="0" collapsed="false">
      <c r="B40" s="126" t="s">
        <v>5445</v>
      </c>
      <c r="C40" s="1177" t="n">
        <v>4</v>
      </c>
      <c r="E40" s="6"/>
      <c r="H40" s="565" t="s">
        <v>5446</v>
      </c>
    </row>
    <row r="41" customFormat="false" ht="16.5" hidden="false" customHeight="true" outlineLevel="0" collapsed="false">
      <c r="B41" s="126" t="s">
        <v>5447</v>
      </c>
      <c r="C41" s="1177" t="n">
        <v>6</v>
      </c>
      <c r="E41" s="6"/>
      <c r="H41" s="565" t="s">
        <v>5448</v>
      </c>
    </row>
    <row r="42" customFormat="false" ht="16.5" hidden="false" customHeight="true" outlineLevel="0" collapsed="false">
      <c r="B42" s="905" t="s">
        <v>5449</v>
      </c>
      <c r="C42" s="1332" t="n">
        <f aca="false">C39*90+C40*45+C41*25</f>
        <v>600</v>
      </c>
      <c r="E42" s="6"/>
      <c r="H42" s="565" t="s">
        <v>5450</v>
      </c>
    </row>
    <row r="43" customFormat="false" ht="15" hidden="false" customHeight="true" outlineLevel="0" collapsed="false">
      <c r="B43" s="6"/>
      <c r="E43" s="6"/>
    </row>
    <row r="44" customFormat="false" ht="16.5" hidden="false" customHeight="true" outlineLevel="0" collapsed="false">
      <c r="B44" s="1076" t="s">
        <v>5451</v>
      </c>
      <c r="C44" s="531" t="n">
        <v>6</v>
      </c>
      <c r="D44" s="314"/>
      <c r="E44" s="317"/>
      <c r="F44" s="314"/>
      <c r="G44" s="314"/>
      <c r="H44" s="538" t="s">
        <v>5452</v>
      </c>
      <c r="I44" s="314"/>
      <c r="J44" s="314"/>
    </row>
    <row r="45" customFormat="false" ht="27.75" hidden="false" customHeight="true" outlineLevel="0" collapsed="false">
      <c r="B45" s="1333" t="s">
        <v>5453</v>
      </c>
      <c r="C45" s="1334" t="n">
        <f aca="false">AVERAGE(D46:I46)</f>
        <v>15.3333333333333</v>
      </c>
      <c r="D45" s="1335" t="s">
        <v>5454</v>
      </c>
      <c r="E45" s="1197" t="s">
        <v>5455</v>
      </c>
      <c r="F45" s="1335" t="s">
        <v>5456</v>
      </c>
      <c r="G45" s="1335" t="s">
        <v>5457</v>
      </c>
      <c r="H45" s="1335" t="s">
        <v>5458</v>
      </c>
      <c r="I45" s="1335" t="s">
        <v>5459</v>
      </c>
      <c r="J45" s="314"/>
    </row>
    <row r="46" customFormat="false" ht="16.5" hidden="false" customHeight="true" outlineLevel="0" collapsed="false">
      <c r="B46" s="126" t="s">
        <v>5460</v>
      </c>
      <c r="C46" s="533" t="n">
        <f aca="false">SUM(D46:I46)</f>
        <v>92</v>
      </c>
      <c r="D46" s="1199" t="n">
        <v>24</v>
      </c>
      <c r="E46" s="1200" t="n">
        <v>12</v>
      </c>
      <c r="F46" s="1199" t="n">
        <v>8</v>
      </c>
      <c r="G46" s="1199" t="n">
        <v>16</v>
      </c>
      <c r="H46" s="1199" t="n">
        <v>20</v>
      </c>
      <c r="I46" s="1199" t="n">
        <v>12</v>
      </c>
      <c r="J46" s="314"/>
    </row>
    <row r="47" customFormat="false" ht="16.5" hidden="false" customHeight="true" outlineLevel="0" collapsed="false">
      <c r="B47" s="126" t="s">
        <v>5461</v>
      </c>
      <c r="C47" s="533" t="n">
        <f aca="false">C42+C46</f>
        <v>692</v>
      </c>
      <c r="D47" s="314"/>
      <c r="E47" s="317"/>
      <c r="F47" s="314"/>
      <c r="G47" s="314"/>
      <c r="H47" s="538" t="s">
        <v>5462</v>
      </c>
      <c r="I47" s="314"/>
      <c r="J47" s="314"/>
    </row>
    <row r="48" customFormat="false" ht="16.5" hidden="false" customHeight="true" outlineLevel="0" collapsed="false">
      <c r="B48" s="126" t="s">
        <v>5463</v>
      </c>
      <c r="C48" s="541" t="n">
        <f aca="false">C47*C28*C29</f>
        <v>53976</v>
      </c>
      <c r="D48" s="314"/>
      <c r="E48" s="317"/>
      <c r="F48" s="314"/>
      <c r="G48" s="314"/>
      <c r="H48" s="565" t="s">
        <v>5464</v>
      </c>
      <c r="I48" s="314"/>
      <c r="J48" s="314"/>
    </row>
    <row r="49" customFormat="false" ht="16.5" hidden="false" customHeight="true" outlineLevel="0" collapsed="false">
      <c r="B49" s="1076" t="s">
        <v>5465</v>
      </c>
      <c r="C49" s="533" t="n">
        <f aca="false">C48*C23</f>
        <v>48578.4</v>
      </c>
      <c r="D49" s="314"/>
      <c r="E49" s="317"/>
      <c r="F49" s="314"/>
      <c r="G49" s="314"/>
      <c r="H49" s="565" t="s">
        <v>5466</v>
      </c>
      <c r="I49" s="314"/>
      <c r="J49" s="314"/>
    </row>
    <row r="50" customFormat="false" ht="33.75" hidden="false" customHeight="true" outlineLevel="0" collapsed="false">
      <c r="B50" s="1336" t="s">
        <v>5467</v>
      </c>
      <c r="C50" s="541" t="n">
        <v>76</v>
      </c>
      <c r="D50" s="314"/>
      <c r="E50" s="317"/>
      <c r="F50" s="314"/>
      <c r="G50" s="314"/>
      <c r="H50" s="538" t="s">
        <v>5468</v>
      </c>
      <c r="I50" s="314"/>
      <c r="J50" s="314"/>
    </row>
    <row r="51" customFormat="false" ht="33.75" hidden="false" customHeight="true" outlineLevel="0" collapsed="false">
      <c r="B51" s="555" t="s">
        <v>5469</v>
      </c>
      <c r="C51" s="555"/>
      <c r="D51" s="555"/>
      <c r="E51" s="555"/>
      <c r="F51" s="555"/>
      <c r="G51" s="555"/>
      <c r="H51" s="555"/>
    </row>
    <row r="52" customFormat="false" ht="16.5" hidden="false" customHeight="true" outlineLevel="0" collapsed="false">
      <c r="B52" s="126" t="s">
        <v>5470</v>
      </c>
      <c r="C52" s="1337" t="n">
        <v>46800</v>
      </c>
      <c r="D52" s="1269" t="s">
        <v>5471</v>
      </c>
      <c r="E52" s="6"/>
      <c r="H52" s="565" t="s">
        <v>5472</v>
      </c>
    </row>
    <row r="53" customFormat="false" ht="16.5" hidden="false" customHeight="true" outlineLevel="0" collapsed="false">
      <c r="B53" s="113" t="s">
        <v>5473</v>
      </c>
      <c r="C53" s="1002" t="n">
        <f aca="false">C52/12</f>
        <v>3900</v>
      </c>
      <c r="E53" s="6"/>
      <c r="H53" s="565" t="s">
        <v>5474</v>
      </c>
    </row>
    <row r="54" customFormat="false" ht="16.5" hidden="false" customHeight="true" outlineLevel="0" collapsed="false">
      <c r="B54" s="126" t="s">
        <v>5475</v>
      </c>
      <c r="C54" s="1002" t="n">
        <f aca="false">C53*C24</f>
        <v>195</v>
      </c>
      <c r="E54" s="6"/>
      <c r="H54" s="565" t="s">
        <v>5476</v>
      </c>
    </row>
    <row r="55" customFormat="false" ht="16.5" hidden="false" customHeight="true" outlineLevel="0" collapsed="false">
      <c r="B55" s="126" t="s">
        <v>5477</v>
      </c>
      <c r="C55" s="1177" t="n">
        <v>8</v>
      </c>
      <c r="E55" s="6"/>
      <c r="H55" s="565" t="s">
        <v>5478</v>
      </c>
    </row>
    <row r="56" customFormat="false" ht="16.5" hidden="false" customHeight="true" outlineLevel="0" collapsed="false">
      <c r="B56" s="1061" t="s">
        <v>5479</v>
      </c>
      <c r="C56" s="1332" t="n">
        <f aca="false">C54*C55</f>
        <v>1560</v>
      </c>
      <c r="E56" s="6"/>
      <c r="H56" s="565" t="s">
        <v>5480</v>
      </c>
    </row>
    <row r="57" customFormat="false" ht="6" hidden="false" customHeight="true" outlineLevel="0" collapsed="false">
      <c r="B57" s="6"/>
      <c r="E57" s="6"/>
    </row>
    <row r="58" customFormat="false" ht="33.75" hidden="false" customHeight="true" outlineLevel="0" collapsed="false">
      <c r="B58" s="51" t="s">
        <v>5481</v>
      </c>
      <c r="C58" s="51"/>
      <c r="D58" s="51"/>
      <c r="E58" s="51"/>
      <c r="F58" s="51"/>
      <c r="G58" s="51"/>
      <c r="H58" s="51"/>
    </row>
    <row r="59" customFormat="false" ht="16.5" hidden="false" customHeight="true" outlineLevel="0" collapsed="false">
      <c r="B59" s="1061" t="s">
        <v>5482</v>
      </c>
      <c r="C59" s="1332" t="n">
        <f aca="false">MIN(C49,C56)</f>
        <v>1560</v>
      </c>
      <c r="E59" s="6"/>
      <c r="H59" s="565" t="s">
        <v>5483</v>
      </c>
    </row>
    <row r="60" customFormat="false" ht="16.5" hidden="false" customHeight="true" outlineLevel="0" collapsed="false">
      <c r="B60" s="1061" t="s">
        <v>5484</v>
      </c>
      <c r="C60" s="1332" t="n">
        <f aca="false">C59/C55</f>
        <v>195</v>
      </c>
      <c r="E60" s="6"/>
      <c r="H60" s="565" t="s">
        <v>5485</v>
      </c>
    </row>
    <row r="61" customFormat="false" ht="15" hidden="false" customHeight="true" outlineLevel="0" collapsed="false">
      <c r="B61" s="592" t="s">
        <v>5486</v>
      </c>
      <c r="C61" s="704" t="str">
        <f aca="false">IF(C49&lt;C56,"⚠ CAPACITY-LIMITED","✓ DEMAND-LIMITED (room to grow)")</f>
        <v>✓ DEMAND-LIMITED (room to grow)</v>
      </c>
      <c r="E61" s="6"/>
      <c r="H61" s="565" t="s">
        <v>5487</v>
      </c>
    </row>
    <row r="62" customFormat="false" ht="6" hidden="false" customHeight="true" outlineLevel="0" collapsed="false">
      <c r="B62" s="6"/>
      <c r="E62" s="6"/>
    </row>
    <row r="63" customFormat="false" ht="21.75" hidden="false" customHeight="true" outlineLevel="0" collapsed="false">
      <c r="B63" s="96" t="s">
        <v>4601</v>
      </c>
      <c r="C63" s="96"/>
      <c r="D63" s="96"/>
      <c r="E63" s="96"/>
      <c r="F63" s="96"/>
      <c r="G63" s="96"/>
      <c r="H63" s="96"/>
    </row>
    <row r="64" customFormat="false" ht="15" hidden="false" customHeight="true" outlineLevel="0" collapsed="false">
      <c r="B64" s="6"/>
      <c r="E64" s="6"/>
    </row>
    <row r="65" customFormat="false" ht="15" hidden="false" customHeight="true" outlineLevel="0" collapsed="false">
      <c r="B65" s="81" t="s">
        <v>4602</v>
      </c>
      <c r="E65" s="6"/>
    </row>
    <row r="66" customFormat="false" ht="16.5" hidden="false" customHeight="true" outlineLevel="0" collapsed="false">
      <c r="B66" s="126" t="s">
        <v>5488</v>
      </c>
      <c r="C66" s="945" t="n">
        <v>100000</v>
      </c>
      <c r="E66" s="6"/>
      <c r="H66" s="565" t="s">
        <v>5489</v>
      </c>
    </row>
    <row r="67" customFormat="false" ht="16.5" hidden="false" customHeight="true" outlineLevel="0" collapsed="false">
      <c r="B67" s="126" t="s">
        <v>5490</v>
      </c>
      <c r="C67" s="945" t="n">
        <v>86400</v>
      </c>
      <c r="E67" s="6"/>
      <c r="H67" s="565" t="s">
        <v>5491</v>
      </c>
    </row>
    <row r="68" customFormat="false" ht="16.5" hidden="false" customHeight="true" outlineLevel="0" collapsed="false">
      <c r="B68" s="126" t="s">
        <v>5492</v>
      </c>
      <c r="C68" s="945" t="n">
        <v>36000</v>
      </c>
      <c r="E68" s="6"/>
      <c r="H68" s="565" t="s">
        <v>5493</v>
      </c>
    </row>
    <row r="69" customFormat="false" ht="16.5" hidden="false" customHeight="true" outlineLevel="0" collapsed="false">
      <c r="B69" s="113" t="s">
        <v>4612</v>
      </c>
      <c r="C69" s="945" t="n">
        <v>0</v>
      </c>
      <c r="E69" s="6"/>
      <c r="H69" s="565" t="s">
        <v>5494</v>
      </c>
    </row>
    <row r="70" customFormat="false" ht="16.5" hidden="false" customHeight="true" outlineLevel="0" collapsed="false">
      <c r="B70" s="113" t="s">
        <v>4608</v>
      </c>
      <c r="C70" s="945" t="n">
        <v>0</v>
      </c>
      <c r="E70" s="6"/>
      <c r="H70" s="565" t="s">
        <v>5495</v>
      </c>
    </row>
    <row r="71" customFormat="false" ht="16.5" hidden="false" customHeight="true" outlineLevel="0" collapsed="false">
      <c r="B71" s="113" t="s">
        <v>4609</v>
      </c>
      <c r="C71" s="945" t="n">
        <v>12000</v>
      </c>
      <c r="E71" s="6"/>
      <c r="H71" s="565" t="s">
        <v>5496</v>
      </c>
    </row>
    <row r="72" customFormat="false" ht="16.5" hidden="false" customHeight="true" outlineLevel="0" collapsed="false">
      <c r="B72" s="113" t="s">
        <v>5497</v>
      </c>
      <c r="C72" s="945" t="n">
        <v>24000</v>
      </c>
      <c r="E72" s="6"/>
      <c r="H72" s="565" t="s">
        <v>5498</v>
      </c>
    </row>
    <row r="73" customFormat="false" ht="16.5" hidden="false" customHeight="true" outlineLevel="0" collapsed="false">
      <c r="B73" s="126" t="s">
        <v>5499</v>
      </c>
      <c r="C73" s="945" t="n">
        <v>0</v>
      </c>
      <c r="E73" s="6"/>
      <c r="H73" s="565" t="s">
        <v>5500</v>
      </c>
    </row>
    <row r="74" customFormat="false" ht="33.75" hidden="false" customHeight="true" outlineLevel="0" collapsed="false">
      <c r="B74" s="126" t="s">
        <v>5501</v>
      </c>
      <c r="C74" s="326" t="n">
        <v>44000</v>
      </c>
      <c r="E74" s="6"/>
      <c r="H74" s="538" t="s">
        <v>5502</v>
      </c>
    </row>
    <row r="75" customFormat="false" ht="15" hidden="false" customHeight="true" outlineLevel="0" collapsed="false">
      <c r="B75" s="1076" t="s">
        <v>5503</v>
      </c>
      <c r="E75" s="6"/>
    </row>
    <row r="76" customFormat="false" ht="16.5" hidden="false" customHeight="true" outlineLevel="0" collapsed="false">
      <c r="B76" s="113" t="s">
        <v>5504</v>
      </c>
      <c r="C76" s="945" t="n">
        <v>4</v>
      </c>
      <c r="E76" s="6"/>
      <c r="H76" s="565" t="s">
        <v>5505</v>
      </c>
    </row>
    <row r="77" customFormat="false" ht="16.5" hidden="false" customHeight="true" outlineLevel="0" collapsed="false">
      <c r="B77" s="126" t="s">
        <v>5506</v>
      </c>
      <c r="C77" s="945" t="n">
        <v>6</v>
      </c>
      <c r="E77" s="6"/>
      <c r="H77" s="565" t="s">
        <v>5507</v>
      </c>
    </row>
    <row r="78" customFormat="false" ht="15" hidden="false" customHeight="true" outlineLevel="0" collapsed="false">
      <c r="B78" s="126" t="s">
        <v>5508</v>
      </c>
      <c r="C78" s="945" t="n">
        <v>20</v>
      </c>
      <c r="E78" s="6"/>
      <c r="H78" s="565" t="s">
        <v>5509</v>
      </c>
    </row>
    <row r="79" customFormat="false" ht="15" hidden="false" customHeight="true" outlineLevel="0" collapsed="false">
      <c r="B79" s="1076" t="s">
        <v>5510</v>
      </c>
      <c r="E79" s="6"/>
    </row>
    <row r="80" customFormat="false" ht="16.5" hidden="false" customHeight="true" outlineLevel="0" collapsed="false">
      <c r="B80" s="126" t="s">
        <v>5511</v>
      </c>
      <c r="C80" s="945" t="n">
        <v>300</v>
      </c>
      <c r="E80" s="6"/>
      <c r="H80" s="565" t="s">
        <v>5512</v>
      </c>
    </row>
    <row r="81" customFormat="false" ht="15" hidden="false" customHeight="true" outlineLevel="0" collapsed="false">
      <c r="B81" s="6"/>
      <c r="E81" s="6"/>
    </row>
    <row r="82" customFormat="false" ht="15" hidden="false" customHeight="true" outlineLevel="0" collapsed="false">
      <c r="B82" s="81" t="s">
        <v>4623</v>
      </c>
      <c r="E82" s="6"/>
    </row>
    <row r="83" customFormat="false" ht="16.5" hidden="false" customHeight="true" outlineLevel="0" collapsed="false">
      <c r="B83" s="126" t="s">
        <v>5513</v>
      </c>
      <c r="C83" s="945" t="n">
        <v>2</v>
      </c>
      <c r="E83" s="6"/>
      <c r="H83" s="565" t="s">
        <v>5514</v>
      </c>
    </row>
    <row r="84" customFormat="false" ht="15" hidden="false" customHeight="true" outlineLevel="0" collapsed="false">
      <c r="B84" s="6"/>
      <c r="E84" s="6"/>
    </row>
    <row r="85" customFormat="false" ht="15" hidden="false" customHeight="true" outlineLevel="0" collapsed="false">
      <c r="B85" s="6"/>
      <c r="E85" s="6"/>
    </row>
    <row r="86" customFormat="false" ht="33.75" hidden="false" customHeight="true" outlineLevel="0" collapsed="false">
      <c r="B86" s="125" t="s">
        <v>5515</v>
      </c>
      <c r="C86" s="125"/>
      <c r="D86" s="125"/>
      <c r="E86" s="125"/>
      <c r="F86" s="125"/>
      <c r="G86" s="125"/>
      <c r="H86" s="125"/>
    </row>
    <row r="87" customFormat="false" ht="15" hidden="false" customHeight="true" outlineLevel="0" collapsed="false">
      <c r="B87" s="113" t="s">
        <v>5516</v>
      </c>
      <c r="C87" s="1338" t="n">
        <v>0.3</v>
      </c>
      <c r="E87" s="6"/>
      <c r="H87" s="565" t="s">
        <v>5517</v>
      </c>
    </row>
    <row r="88" customFormat="false" ht="15" hidden="false" customHeight="true" outlineLevel="0" collapsed="false">
      <c r="B88" s="113" t="s">
        <v>5518</v>
      </c>
      <c r="C88" s="1339" t="n">
        <v>130</v>
      </c>
      <c r="D88" s="1340" t="n">
        <v>150</v>
      </c>
      <c r="E88" s="1341" t="n">
        <v>180</v>
      </c>
      <c r="H88" s="565" t="s">
        <v>5519</v>
      </c>
    </row>
    <row r="89" customFormat="false" ht="15" hidden="false" customHeight="true" outlineLevel="0" collapsed="false">
      <c r="B89" s="113" t="s">
        <v>5520</v>
      </c>
      <c r="C89" s="1342" t="n">
        <f aca="false">IF($G$5="Bear",C88,IF($G$5="Bull",E88,D88))</f>
        <v>150</v>
      </c>
      <c r="E89" s="6"/>
    </row>
    <row r="90" customFormat="false" ht="15" hidden="false" customHeight="true" outlineLevel="0" collapsed="false">
      <c r="B90" s="1061" t="s">
        <v>5521</v>
      </c>
      <c r="C90" s="1343" t="n">
        <f aca="false">C26*(1-C87)+C89*C87</f>
        <v>139.5</v>
      </c>
      <c r="E90" s="6"/>
      <c r="H90" s="565" t="s">
        <v>5522</v>
      </c>
    </row>
    <row r="91" customFormat="false" ht="33.75" hidden="false" customHeight="true" outlineLevel="0" collapsed="false">
      <c r="B91" s="555" t="s">
        <v>5523</v>
      </c>
      <c r="C91" s="555"/>
      <c r="D91" s="555"/>
      <c r="E91" s="555"/>
      <c r="F91" s="555"/>
      <c r="G91" s="555"/>
      <c r="H91" s="555"/>
    </row>
    <row r="92" customFormat="false" ht="19.5" hidden="false" customHeight="true" outlineLevel="0" collapsed="false">
      <c r="B92" s="97" t="s">
        <v>392</v>
      </c>
      <c r="C92" s="675" t="s">
        <v>2444</v>
      </c>
      <c r="D92" s="676" t="s">
        <v>203</v>
      </c>
      <c r="E92" s="678" t="s">
        <v>2445</v>
      </c>
    </row>
    <row r="93" customFormat="false" ht="16.5" hidden="false" customHeight="true" outlineLevel="0" collapsed="false">
      <c r="B93" s="113" t="s">
        <v>5524</v>
      </c>
      <c r="C93" s="1172" t="n">
        <v>1</v>
      </c>
      <c r="D93" s="1173" t="n">
        <v>2</v>
      </c>
      <c r="E93" s="1174" t="n">
        <v>4</v>
      </c>
      <c r="H93" s="565" t="s">
        <v>5525</v>
      </c>
    </row>
    <row r="94" customFormat="false" ht="16.5" hidden="false" customHeight="true" outlineLevel="0" collapsed="false">
      <c r="B94" s="113" t="s">
        <v>5526</v>
      </c>
      <c r="C94" s="1172" t="n">
        <v>4</v>
      </c>
      <c r="D94" s="1173" t="n">
        <v>6</v>
      </c>
      <c r="E94" s="1174" t="n">
        <v>10</v>
      </c>
      <c r="H94" s="565" t="s">
        <v>5527</v>
      </c>
    </row>
    <row r="95" customFormat="false" ht="16.5" hidden="false" customHeight="true" outlineLevel="0" collapsed="false">
      <c r="B95" s="113" t="s">
        <v>5528</v>
      </c>
      <c r="C95" s="927" t="n">
        <v>500</v>
      </c>
      <c r="D95" s="928" t="n">
        <v>1000</v>
      </c>
      <c r="E95" s="929" t="n">
        <v>2000</v>
      </c>
      <c r="F95" s="0" t="s">
        <v>5529</v>
      </c>
      <c r="H95" s="565" t="s">
        <v>5530</v>
      </c>
    </row>
    <row r="96" customFormat="false" ht="16.5" hidden="false" customHeight="true" outlineLevel="0" collapsed="false">
      <c r="B96" s="113" t="s">
        <v>5531</v>
      </c>
      <c r="C96" s="923" t="n">
        <v>0.2</v>
      </c>
      <c r="D96" s="924" t="n">
        <v>0.3</v>
      </c>
      <c r="E96" s="925" t="n">
        <v>0.45</v>
      </c>
      <c r="F96" s="0" t="s">
        <v>5532</v>
      </c>
      <c r="H96" s="565" t="s">
        <v>5533</v>
      </c>
    </row>
    <row r="97" customFormat="false" ht="16.5" hidden="false" customHeight="true" outlineLevel="0" collapsed="false">
      <c r="B97" s="126" t="s">
        <v>5534</v>
      </c>
      <c r="C97" s="927" t="n">
        <v>20000</v>
      </c>
      <c r="D97" s="928" t="n">
        <v>30000</v>
      </c>
      <c r="E97" s="929" t="n">
        <v>60000</v>
      </c>
      <c r="F97" s="0" t="s">
        <v>5535</v>
      </c>
      <c r="H97" s="565" t="s">
        <v>5536</v>
      </c>
    </row>
    <row r="98" customFormat="false" ht="16.5" hidden="false" customHeight="true" outlineLevel="0" collapsed="false">
      <c r="B98" s="113" t="s">
        <v>5537</v>
      </c>
      <c r="C98" s="923" t="n">
        <v>0.04</v>
      </c>
      <c r="D98" s="924" t="n">
        <v>0.05</v>
      </c>
      <c r="E98" s="925" t="n">
        <v>0.07</v>
      </c>
      <c r="H98" s="565" t="s">
        <v>5538</v>
      </c>
    </row>
    <row r="99" customFormat="false" ht="16.5" hidden="false" customHeight="true" outlineLevel="0" collapsed="false">
      <c r="B99" s="126" t="s">
        <v>5539</v>
      </c>
      <c r="C99" s="923" t="n">
        <v>0.15</v>
      </c>
      <c r="D99" s="924" t="n">
        <v>0.25</v>
      </c>
      <c r="E99" s="925" t="n">
        <v>0.4</v>
      </c>
      <c r="F99" s="0" t="s">
        <v>5540</v>
      </c>
      <c r="H99" s="565" t="s">
        <v>5541</v>
      </c>
    </row>
    <row r="100" customFormat="false" ht="16.5" hidden="false" customHeight="true" outlineLevel="0" collapsed="false">
      <c r="B100" s="113" t="s">
        <v>5542</v>
      </c>
      <c r="C100" s="1172" t="n">
        <v>2</v>
      </c>
      <c r="D100" s="1173" t="n">
        <v>3</v>
      </c>
      <c r="E100" s="1174" t="n">
        <v>3</v>
      </c>
      <c r="H100" s="565" t="s">
        <v>5543</v>
      </c>
    </row>
    <row r="101" customFormat="false" ht="6" hidden="false" customHeight="true" outlineLevel="0" collapsed="false">
      <c r="B101" s="6"/>
      <c r="E101" s="6"/>
    </row>
    <row r="102" customFormat="false" ht="21.75" hidden="false" customHeight="true" outlineLevel="0" collapsed="false">
      <c r="B102" s="72" t="s">
        <v>5544</v>
      </c>
      <c r="C102" s="72"/>
      <c r="D102" s="72"/>
      <c r="E102" s="72"/>
      <c r="F102" s="72"/>
      <c r="G102" s="72"/>
      <c r="H102" s="72"/>
    </row>
    <row r="103" customFormat="false" ht="18" hidden="false" customHeight="true" outlineLevel="0" collapsed="false">
      <c r="B103" s="113" t="s">
        <v>5545</v>
      </c>
      <c r="C103" s="1175" t="n">
        <f aca="false">IF($G$5="Bear",C93,IF($G$5="Bull",E93,D93))</f>
        <v>2</v>
      </c>
      <c r="E103" s="6"/>
      <c r="H103" s="565" t="s">
        <v>5546</v>
      </c>
    </row>
    <row r="104" customFormat="false" ht="18" hidden="false" customHeight="true" outlineLevel="0" collapsed="false">
      <c r="B104" s="113" t="s">
        <v>5547</v>
      </c>
      <c r="C104" s="1175" t="n">
        <f aca="false">IF($G$5="Bear",C94,IF($G$5="Bull",E94,D94))</f>
        <v>6</v>
      </c>
      <c r="E104" s="6"/>
      <c r="H104" s="565" t="s">
        <v>5546</v>
      </c>
    </row>
    <row r="105" customFormat="false" ht="18" hidden="false" customHeight="true" outlineLevel="0" collapsed="false">
      <c r="B105" s="113" t="s">
        <v>5548</v>
      </c>
      <c r="C105" s="1176" t="n">
        <f aca="false">IF($G$5="Bear",C95,IF($G$5="Bull",E95,D95))</f>
        <v>1000</v>
      </c>
      <c r="E105" s="6"/>
      <c r="H105" s="565" t="s">
        <v>5546</v>
      </c>
    </row>
    <row r="106" customFormat="false" ht="18" hidden="false" customHeight="true" outlineLevel="0" collapsed="false">
      <c r="B106" s="113" t="s">
        <v>5549</v>
      </c>
      <c r="C106" s="1330" t="n">
        <f aca="false">IF($G$5="Bear",C96,IF($G$5="Bull",E96,D96))</f>
        <v>0.3</v>
      </c>
      <c r="E106" s="6"/>
      <c r="H106" s="565" t="s">
        <v>5550</v>
      </c>
    </row>
    <row r="107" customFormat="false" ht="18" hidden="false" customHeight="true" outlineLevel="0" collapsed="false">
      <c r="B107" s="113" t="s">
        <v>5551</v>
      </c>
      <c r="C107" s="1176" t="n">
        <f aca="false">IF($G$5="Bear",C97,IF($G$5="Bull",E97,D97))</f>
        <v>30000</v>
      </c>
      <c r="E107" s="6"/>
      <c r="H107" s="565" t="s">
        <v>5550</v>
      </c>
    </row>
    <row r="108" customFormat="false" ht="18" hidden="false" customHeight="true" outlineLevel="0" collapsed="false">
      <c r="B108" s="113" t="s">
        <v>5552</v>
      </c>
      <c r="C108" s="1330" t="n">
        <f aca="false">IF($G$5="Bear",C98,IF($G$5="Bull",E98,D98))</f>
        <v>0.05</v>
      </c>
      <c r="E108" s="6"/>
      <c r="H108" s="565" t="s">
        <v>5550</v>
      </c>
    </row>
    <row r="109" customFormat="false" ht="18" hidden="false" customHeight="true" outlineLevel="0" collapsed="false">
      <c r="B109" s="113" t="s">
        <v>5553</v>
      </c>
      <c r="C109" s="1330" t="n">
        <f aca="false">IF($G$5="Bear",C99,IF($G$5="Bull",E99,D99))</f>
        <v>0.25</v>
      </c>
      <c r="E109" s="6"/>
      <c r="H109" s="565" t="s">
        <v>5550</v>
      </c>
    </row>
    <row r="110" customFormat="false" ht="18" hidden="false" customHeight="true" outlineLevel="0" collapsed="false">
      <c r="B110" s="113" t="s">
        <v>5554</v>
      </c>
      <c r="C110" s="1175" t="n">
        <f aca="false">IF($G$5="Bear",C100,IF($G$5="Bull",E100,D100))</f>
        <v>3</v>
      </c>
      <c r="E110" s="6"/>
      <c r="H110" s="565" t="s">
        <v>5550</v>
      </c>
    </row>
    <row r="111" customFormat="false" ht="6" hidden="false" customHeight="true" outlineLevel="0" collapsed="false">
      <c r="B111" s="6"/>
      <c r="E111" s="6"/>
    </row>
    <row r="112" customFormat="false" ht="21.75" hidden="false" customHeight="true" outlineLevel="0" collapsed="false">
      <c r="B112" s="72" t="s">
        <v>5555</v>
      </c>
      <c r="C112" s="72"/>
      <c r="D112" s="72"/>
      <c r="E112" s="72"/>
      <c r="F112" s="72"/>
      <c r="G112" s="72"/>
      <c r="H112" s="72"/>
    </row>
    <row r="113" customFormat="false" ht="16.5" hidden="false" customHeight="true" outlineLevel="0" collapsed="false">
      <c r="B113" s="905" t="s">
        <v>5556</v>
      </c>
      <c r="C113" s="1344" t="n">
        <f aca="false">C103*C104*C105</f>
        <v>12000</v>
      </c>
      <c r="E113" s="6"/>
      <c r="H113" s="565" t="s">
        <v>5557</v>
      </c>
    </row>
    <row r="114" customFormat="false" ht="16.5" hidden="false" customHeight="true" outlineLevel="0" collapsed="false">
      <c r="B114" s="113" t="s">
        <v>5558</v>
      </c>
      <c r="C114" s="976" t="n">
        <f aca="false">(C103*C104*C106*C107*C108)*C110</f>
        <v>16200</v>
      </c>
      <c r="E114" s="6"/>
      <c r="H114" s="565" t="s">
        <v>5559</v>
      </c>
    </row>
    <row r="115" customFormat="false" ht="16.5" hidden="false" customHeight="true" outlineLevel="0" collapsed="false">
      <c r="B115" s="905" t="s">
        <v>5560</v>
      </c>
      <c r="C115" s="1344" t="n">
        <f aca="false">C114*C109</f>
        <v>4050</v>
      </c>
      <c r="E115" s="6"/>
      <c r="H115" s="565" t="s">
        <v>5561</v>
      </c>
    </row>
    <row r="116" customFormat="false" ht="16.5" hidden="false" customHeight="true" outlineLevel="0" collapsed="false">
      <c r="B116" s="905" t="s">
        <v>5562</v>
      </c>
      <c r="C116" s="1344" t="n">
        <f aca="false">C113+C115</f>
        <v>16050</v>
      </c>
      <c r="E116" s="6"/>
      <c r="H116" s="565" t="s">
        <v>5563</v>
      </c>
    </row>
    <row r="117" customFormat="false" ht="15" hidden="false" customHeight="true" outlineLevel="0" collapsed="false">
      <c r="B117" s="6"/>
      <c r="E117" s="6"/>
    </row>
    <row r="118" customFormat="false" ht="16.5" hidden="false" customHeight="true" outlineLevel="0" collapsed="false">
      <c r="B118" s="113" t="s">
        <v>5564</v>
      </c>
      <c r="C118" s="976" t="n">
        <f aca="false">15000</f>
        <v>15000</v>
      </c>
      <c r="E118" s="6"/>
      <c r="H118" s="565" t="s">
        <v>5565</v>
      </c>
    </row>
    <row r="119" customFormat="false" ht="16.5" hidden="false" customHeight="true" outlineLevel="0" collapsed="false">
      <c r="B119" s="113" t="s">
        <v>5566</v>
      </c>
      <c r="C119" s="976" t="n">
        <f aca="false">C103*6*2000</f>
        <v>24000</v>
      </c>
      <c r="E119" s="6"/>
      <c r="H119" s="565" t="s">
        <v>5567</v>
      </c>
    </row>
    <row r="120" customFormat="false" ht="16.5" hidden="false" customHeight="true" outlineLevel="0" collapsed="false">
      <c r="B120" s="113" t="s">
        <v>5568</v>
      </c>
      <c r="C120" s="976" t="n">
        <f aca="false">10000</f>
        <v>10000</v>
      </c>
      <c r="E120" s="6"/>
      <c r="H120" s="565" t="s">
        <v>5569</v>
      </c>
    </row>
    <row r="121" customFormat="false" ht="16.5" hidden="false" customHeight="true" outlineLevel="0" collapsed="false">
      <c r="B121" s="113" t="s">
        <v>5570</v>
      </c>
      <c r="C121" s="976" t="n">
        <f aca="false">5000*C103</f>
        <v>10000</v>
      </c>
      <c r="E121" s="6"/>
      <c r="H121" s="565" t="s">
        <v>5571</v>
      </c>
    </row>
    <row r="122" customFormat="false" ht="16.5" hidden="false" customHeight="true" outlineLevel="0" collapsed="false">
      <c r="B122" s="905" t="s">
        <v>5572</v>
      </c>
      <c r="C122" s="1344" t="n">
        <f aca="false">C118+C119+C120+C121+C123</f>
        <v>61400</v>
      </c>
      <c r="E122" s="6"/>
      <c r="H122" s="565" t="s">
        <v>5573</v>
      </c>
    </row>
    <row r="123" customFormat="false" ht="15" hidden="false" customHeight="true" outlineLevel="0" collapsed="false">
      <c r="B123" s="6" t="s">
        <v>5574</v>
      </c>
      <c r="C123" s="0" t="n">
        <f aca="false">C103*6*200</f>
        <v>2400</v>
      </c>
      <c r="D123" s="0" t="s">
        <v>5575</v>
      </c>
      <c r="E123" s="6"/>
      <c r="F123" s="0" t="s">
        <v>5576</v>
      </c>
    </row>
    <row r="124" customFormat="false" ht="33.75" hidden="false" customHeight="true" outlineLevel="0" collapsed="false">
      <c r="B124" s="575" t="s">
        <v>5577</v>
      </c>
      <c r="C124" s="575"/>
      <c r="D124" s="575"/>
      <c r="E124" s="575"/>
      <c r="F124" s="575"/>
      <c r="G124" s="575"/>
      <c r="H124" s="575"/>
      <c r="I124" s="575"/>
      <c r="J124" s="575"/>
      <c r="K124" s="575"/>
      <c r="L124" s="575"/>
      <c r="M124" s="575"/>
      <c r="N124" s="575"/>
      <c r="O124" s="575"/>
    </row>
    <row r="125" customFormat="false" ht="33.75" hidden="false" customHeight="true" outlineLevel="0" collapsed="false">
      <c r="B125" s="1195" t="s">
        <v>5578</v>
      </c>
      <c r="E125" s="6"/>
    </row>
    <row r="126" customFormat="false" ht="63.75" hidden="false" customHeight="true" outlineLevel="0" collapsed="false">
      <c r="B126" s="1160" t="s">
        <v>5579</v>
      </c>
      <c r="C126" s="541" t="n">
        <f aca="false">C52</f>
        <v>46800</v>
      </c>
      <c r="E126" s="6"/>
      <c r="H126" s="538" t="s">
        <v>5580</v>
      </c>
    </row>
    <row r="127" customFormat="false" ht="63.75" hidden="false" customHeight="true" outlineLevel="0" collapsed="false">
      <c r="B127" s="1160" t="s">
        <v>5581</v>
      </c>
      <c r="C127" s="1218" t="n">
        <f aca="false">C24</f>
        <v>0.05</v>
      </c>
      <c r="E127" s="6"/>
      <c r="H127" s="538" t="s">
        <v>5582</v>
      </c>
    </row>
    <row r="128" customFormat="false" ht="74.25" hidden="false" customHeight="true" outlineLevel="0" collapsed="false">
      <c r="B128" s="1160" t="s">
        <v>5583</v>
      </c>
      <c r="C128" s="541" t="n">
        <f aca="false">C126*C127</f>
        <v>2340</v>
      </c>
      <c r="E128" s="6"/>
      <c r="H128" s="538" t="s">
        <v>5584</v>
      </c>
    </row>
    <row r="129" customFormat="false" ht="15" hidden="false" customHeight="true" outlineLevel="0" collapsed="false">
      <c r="B129" s="6"/>
      <c r="E129" s="6"/>
    </row>
    <row r="130" customFormat="false" ht="15" hidden="false" customHeight="true" outlineLevel="0" collapsed="false">
      <c r="B130" s="1195" t="s">
        <v>5585</v>
      </c>
      <c r="E130" s="6"/>
    </row>
    <row r="131" customFormat="false" ht="84.75" hidden="false" customHeight="true" outlineLevel="0" collapsed="false">
      <c r="B131" s="1160" t="s">
        <v>5586</v>
      </c>
      <c r="C131" s="326" t="n">
        <v>18000</v>
      </c>
      <c r="E131" s="6"/>
      <c r="H131" s="538" t="s">
        <v>5587</v>
      </c>
    </row>
    <row r="132" customFormat="false" ht="116.25" hidden="false" customHeight="true" outlineLevel="0" collapsed="false">
      <c r="B132" s="1160" t="s">
        <v>5588</v>
      </c>
      <c r="C132" s="326" t="n">
        <v>12</v>
      </c>
      <c r="E132" s="6"/>
      <c r="H132" s="538" t="s">
        <v>5589</v>
      </c>
    </row>
    <row r="133" customFormat="false" ht="42.75" hidden="false" customHeight="true" outlineLevel="0" collapsed="false">
      <c r="B133" s="1160" t="s">
        <v>5590</v>
      </c>
      <c r="C133" s="541" t="n">
        <f aca="false">C131/C132</f>
        <v>1500</v>
      </c>
      <c r="E133" s="6"/>
      <c r="H133" s="538" t="s">
        <v>5591</v>
      </c>
    </row>
    <row r="134" customFormat="false" ht="116.25" hidden="false" customHeight="true" outlineLevel="0" collapsed="false">
      <c r="B134" s="1160" t="s">
        <v>5592</v>
      </c>
      <c r="C134" s="1201" t="n">
        <v>0.08</v>
      </c>
      <c r="E134" s="6"/>
      <c r="H134" s="538" t="s">
        <v>5593</v>
      </c>
    </row>
    <row r="135" customFormat="false" ht="63.75" hidden="false" customHeight="true" outlineLevel="0" collapsed="false">
      <c r="B135" s="1160" t="s">
        <v>5594</v>
      </c>
      <c r="C135" s="541" t="n">
        <f aca="false">C133*C134</f>
        <v>120</v>
      </c>
      <c r="E135" s="6"/>
      <c r="H135" s="538" t="s">
        <v>5595</v>
      </c>
    </row>
    <row r="136" customFormat="false" ht="15" hidden="false" customHeight="true" outlineLevel="0" collapsed="false">
      <c r="B136" s="6"/>
      <c r="E136" s="6"/>
    </row>
    <row r="137" customFormat="false" ht="15" hidden="false" customHeight="true" outlineLevel="0" collapsed="false">
      <c r="B137" s="1195" t="s">
        <v>5596</v>
      </c>
      <c r="E137" s="6"/>
    </row>
    <row r="138" customFormat="false" ht="33.75" hidden="false" customHeight="true" outlineLevel="0" collapsed="false">
      <c r="B138" s="1210" t="s">
        <v>5597</v>
      </c>
      <c r="C138" s="533" t="n">
        <f aca="false">C128+C135</f>
        <v>2460</v>
      </c>
      <c r="E138" s="6"/>
      <c r="H138" s="538" t="s">
        <v>5598</v>
      </c>
    </row>
    <row r="139" customFormat="false" ht="21.75" hidden="false" customHeight="true" outlineLevel="0" collapsed="false">
      <c r="B139" s="1160" t="s">
        <v>5599</v>
      </c>
      <c r="C139" s="1345" t="n">
        <f aca="false">C138/12</f>
        <v>205</v>
      </c>
      <c r="E139" s="6"/>
      <c r="H139" s="538" t="s">
        <v>5474</v>
      </c>
    </row>
    <row r="140" customFormat="false" ht="74.25" hidden="false" customHeight="true" outlineLevel="0" collapsed="false">
      <c r="B140" s="1160" t="s">
        <v>5600</v>
      </c>
      <c r="C140" s="541" t="n">
        <f aca="false">C60</f>
        <v>195</v>
      </c>
      <c r="E140" s="6"/>
      <c r="H140" s="538" t="s">
        <v>5601</v>
      </c>
    </row>
    <row r="141" customFormat="false" ht="84.75" hidden="false" customHeight="true" outlineLevel="0" collapsed="false">
      <c r="B141" s="1210" t="s">
        <v>5602</v>
      </c>
      <c r="C141" s="1346" t="n">
        <f aca="false">C139-C140</f>
        <v>10</v>
      </c>
      <c r="E141" s="6"/>
      <c r="H141" s="538" t="s">
        <v>5603</v>
      </c>
    </row>
    <row r="142" customFormat="false" ht="68.25" hidden="false" customHeight="true" outlineLevel="0" collapsed="false">
      <c r="B142" s="1210" t="s">
        <v>5604</v>
      </c>
      <c r="C142" s="1219" t="str">
        <f aca="false">IF(C141&gt;=0, "✓ DEMAND CAN SUPPORT MODEL ("&amp;TEXT(C141/C140,"+0.0%")&amp;" slack)", "⚠ PIPELINE GAP — model assumes "&amp;TEXT(-C141,"#,##0")&amp;" more students/mo than funnel delivers")</f>
        <v>✓ DEMAND CAN SUPPORT MODEL (+5.1% slack)</v>
      </c>
      <c r="E142" s="6"/>
    </row>
    <row r="143" customFormat="false" ht="15" hidden="false" customHeight="true" outlineLevel="0" collapsed="false">
      <c r="B143" s="6"/>
      <c r="E143" s="6"/>
    </row>
    <row r="144" customFormat="false" ht="33.75" hidden="false" customHeight="true" outlineLevel="0" collapsed="false">
      <c r="B144" s="1160" t="s">
        <v>5605</v>
      </c>
      <c r="C144" s="547" t="n">
        <f aca="false">C131/C135</f>
        <v>150</v>
      </c>
      <c r="E144" s="6"/>
      <c r="H144" s="538" t="s">
        <v>5606</v>
      </c>
    </row>
    <row r="145" customFormat="false" ht="63.75" hidden="false" customHeight="true" outlineLevel="0" collapsed="false">
      <c r="B145" s="1160" t="s">
        <v>5607</v>
      </c>
      <c r="C145" s="547" t="n">
        <f aca="false">C26*C25</f>
        <v>1350</v>
      </c>
      <c r="E145" s="6"/>
      <c r="H145" s="538" t="s">
        <v>5608</v>
      </c>
    </row>
    <row r="146" customFormat="false" ht="15" hidden="false" customHeight="true" outlineLevel="0" collapsed="false">
      <c r="B146" s="6"/>
      <c r="E146" s="6"/>
    </row>
    <row r="147" customFormat="false" ht="33.75" hidden="false" customHeight="true" outlineLevel="0" collapsed="false">
      <c r="B147" s="575" t="s">
        <v>5609</v>
      </c>
      <c r="C147" s="575"/>
      <c r="D147" s="575"/>
      <c r="E147" s="575"/>
      <c r="F147" s="575"/>
      <c r="G147" s="575"/>
      <c r="H147" s="575"/>
      <c r="I147" s="575"/>
      <c r="J147" s="575"/>
      <c r="K147" s="575"/>
      <c r="L147" s="575"/>
      <c r="M147" s="575"/>
      <c r="N147" s="575"/>
      <c r="O147" s="575"/>
    </row>
    <row r="148" customFormat="false" ht="15" hidden="false" customHeight="true" outlineLevel="0" collapsed="false">
      <c r="B148" s="1195" t="s">
        <v>5610</v>
      </c>
      <c r="E148" s="6"/>
    </row>
    <row r="149" customFormat="false" ht="95.25" hidden="false" customHeight="true" outlineLevel="0" collapsed="false">
      <c r="B149" s="1160" t="s">
        <v>5611</v>
      </c>
      <c r="C149" s="1217" t="n">
        <v>1.5</v>
      </c>
      <c r="E149" s="6"/>
      <c r="H149" s="538" t="s">
        <v>5612</v>
      </c>
    </row>
    <row r="150" customFormat="false" ht="116.25" hidden="false" customHeight="true" outlineLevel="0" collapsed="false">
      <c r="B150" s="1160" t="s">
        <v>5613</v>
      </c>
      <c r="C150" s="531" t="n">
        <v>26</v>
      </c>
      <c r="E150" s="6"/>
      <c r="H150" s="538" t="s">
        <v>5614</v>
      </c>
    </row>
    <row r="151" customFormat="false" ht="84.75" hidden="false" customHeight="true" outlineLevel="0" collapsed="false">
      <c r="B151" s="1160" t="s">
        <v>5615</v>
      </c>
      <c r="C151" s="1201" t="n">
        <v>0.5</v>
      </c>
      <c r="E151" s="6"/>
      <c r="H151" s="538" t="s">
        <v>5616</v>
      </c>
    </row>
    <row r="152" customFormat="false" ht="84.75" hidden="false" customHeight="true" outlineLevel="0" collapsed="false">
      <c r="B152" s="1160" t="s">
        <v>5617</v>
      </c>
      <c r="C152" s="1201" t="n">
        <v>0.4</v>
      </c>
      <c r="E152" s="6"/>
      <c r="H152" s="538" t="s">
        <v>5618</v>
      </c>
    </row>
    <row r="153" customFormat="false" ht="63.75" hidden="false" customHeight="true" outlineLevel="0" collapsed="false">
      <c r="B153" s="1160" t="s">
        <v>5619</v>
      </c>
      <c r="C153" s="1201" t="n">
        <v>0.35</v>
      </c>
      <c r="E153" s="6"/>
      <c r="H153" s="538" t="s">
        <v>5620</v>
      </c>
    </row>
    <row r="154" customFormat="false" ht="95.25" hidden="false" customHeight="true" outlineLevel="0" collapsed="false">
      <c r="B154" s="1210" t="s">
        <v>5621</v>
      </c>
      <c r="C154" s="1347" t="n">
        <f aca="false">C150*C151*C152*C153</f>
        <v>1.82</v>
      </c>
      <c r="E154" s="6"/>
      <c r="H154" s="538" t="s">
        <v>5622</v>
      </c>
    </row>
    <row r="155" customFormat="false" ht="42.75" hidden="false" customHeight="true" outlineLevel="0" collapsed="false">
      <c r="B155" s="1160" t="s">
        <v>5623</v>
      </c>
      <c r="C155" s="541" t="n">
        <f aca="false">C154*12</f>
        <v>21.84</v>
      </c>
      <c r="E155" s="6"/>
      <c r="H155" s="538" t="s">
        <v>5624</v>
      </c>
    </row>
    <row r="156" customFormat="false" ht="15" hidden="false" customHeight="true" outlineLevel="0" collapsed="false">
      <c r="B156" s="6"/>
      <c r="E156" s="6"/>
    </row>
    <row r="157" customFormat="false" ht="15" hidden="false" customHeight="true" outlineLevel="0" collapsed="false">
      <c r="B157" s="1195" t="s">
        <v>5625</v>
      </c>
      <c r="E157" s="6"/>
    </row>
    <row r="158" customFormat="false" ht="116.25" hidden="false" customHeight="true" outlineLevel="0" collapsed="false">
      <c r="B158" s="1160" t="s">
        <v>5626</v>
      </c>
      <c r="C158" s="531" t="n">
        <v>6</v>
      </c>
      <c r="E158" s="6"/>
      <c r="H158" s="538" t="s">
        <v>5627</v>
      </c>
    </row>
    <row r="159" customFormat="false" ht="63.75" hidden="false" customHeight="true" outlineLevel="0" collapsed="false">
      <c r="B159" s="1160" t="s">
        <v>5628</v>
      </c>
      <c r="C159" s="541" t="n">
        <f aca="false">C155*C158</f>
        <v>131.04</v>
      </c>
      <c r="E159" s="6"/>
      <c r="H159" s="538" t="s">
        <v>5629</v>
      </c>
    </row>
    <row r="160" customFormat="false" ht="63.75" hidden="false" customHeight="true" outlineLevel="0" collapsed="false">
      <c r="B160" s="1160" t="s">
        <v>5630</v>
      </c>
      <c r="C160" s="1345" t="n">
        <f aca="false">C159/12</f>
        <v>10.92</v>
      </c>
      <c r="E160" s="6"/>
      <c r="H160" s="538" t="s">
        <v>5631</v>
      </c>
    </row>
    <row r="161" customFormat="false" ht="63.75" hidden="false" customHeight="true" outlineLevel="0" collapsed="false">
      <c r="B161" s="1160" t="s">
        <v>5632</v>
      </c>
      <c r="C161" s="541" t="n">
        <f aca="false">C30</f>
        <v>20</v>
      </c>
      <c r="E161" s="6"/>
      <c r="H161" s="538" t="s">
        <v>5633</v>
      </c>
    </row>
    <row r="162" customFormat="false" ht="63.75" hidden="false" customHeight="true" outlineLevel="0" collapsed="false">
      <c r="B162" s="1210" t="s">
        <v>5634</v>
      </c>
      <c r="C162" s="1348" t="n">
        <f aca="false">C160-C161</f>
        <v>-9.08</v>
      </c>
      <c r="E162" s="6"/>
      <c r="H162" s="538" t="s">
        <v>5635</v>
      </c>
    </row>
    <row r="163" customFormat="false" ht="15" hidden="false" customHeight="true" outlineLevel="0" collapsed="false">
      <c r="B163" s="6"/>
      <c r="E163" s="6"/>
    </row>
    <row r="164" customFormat="false" ht="126.75" hidden="false" customHeight="true" outlineLevel="0" collapsed="false">
      <c r="B164" s="1160" t="s">
        <v>5636</v>
      </c>
      <c r="C164" s="531" t="n">
        <v>75</v>
      </c>
      <c r="E164" s="6"/>
      <c r="H164" s="538" t="s">
        <v>5637</v>
      </c>
    </row>
    <row r="165" customFormat="false" ht="126.75" hidden="false" customHeight="true" outlineLevel="0" collapsed="false">
      <c r="B165" s="1160" t="s">
        <v>5638</v>
      </c>
      <c r="C165" s="531" t="n">
        <v>2.5</v>
      </c>
      <c r="E165" s="6"/>
      <c r="H165" s="538" t="s">
        <v>5639</v>
      </c>
    </row>
    <row r="166" customFormat="false" ht="33.75" hidden="false" customHeight="true" outlineLevel="0" collapsed="false">
      <c r="B166" s="1160" t="s">
        <v>5640</v>
      </c>
      <c r="C166" s="547" t="n">
        <f aca="false">C160*12*C31*C165</f>
        <v>1212120</v>
      </c>
      <c r="E166" s="6"/>
      <c r="H166" s="538" t="s">
        <v>5641</v>
      </c>
    </row>
    <row r="167" customFormat="false" ht="15" hidden="false" customHeight="true" outlineLevel="0" collapsed="false">
      <c r="B167" s="6"/>
      <c r="E167" s="6"/>
    </row>
    <row r="168" customFormat="false" ht="68.25" hidden="false" customHeight="true" outlineLevel="0" collapsed="false">
      <c r="B168" s="1210" t="s">
        <v>5642</v>
      </c>
      <c r="C168" s="1219" t="str">
        <f aca="false">IF(C162&gt;=0, "✓ B2B ENGINE SUPPORTS PLAN ("&amp;TEXT(C162,"+0.0")&amp;" sessions/mo slack)", "⚠ B2B GAP — funnel delivers "&amp;TEXT(-C162,"0.0")&amp;" fewer sessions/mo than plan")</f>
        <v>⚠ B2B GAP — funnel delivers 9.1 fewer sessions/mo than plan</v>
      </c>
      <c r="E168" s="6"/>
    </row>
    <row r="169" customFormat="false" ht="15" hidden="false" customHeight="true" outlineLevel="0" collapsed="false">
      <c r="B169" s="6"/>
      <c r="E169" s="6"/>
    </row>
    <row r="170" customFormat="false" ht="74.25" hidden="false" customHeight="true" outlineLevel="0" collapsed="false">
      <c r="B170" s="1160" t="s">
        <v>5643</v>
      </c>
      <c r="C170" s="531" t="n">
        <v>30</v>
      </c>
      <c r="E170" s="6"/>
      <c r="H170" s="538" t="s">
        <v>5644</v>
      </c>
    </row>
    <row r="171" customFormat="false" ht="15" hidden="false" customHeight="true" outlineLevel="0" collapsed="false">
      <c r="B171" s="6"/>
      <c r="E171" s="6"/>
    </row>
    <row r="172" customFormat="false" ht="33.75" hidden="false" customHeight="true" outlineLevel="0" collapsed="false">
      <c r="B172" s="575" t="s">
        <v>5645</v>
      </c>
      <c r="C172" s="575"/>
      <c r="D172" s="575"/>
      <c r="E172" s="575"/>
      <c r="F172" s="575"/>
      <c r="G172" s="575"/>
      <c r="H172" s="575"/>
      <c r="I172" s="575"/>
      <c r="J172" s="575"/>
      <c r="K172" s="575"/>
      <c r="L172" s="575"/>
      <c r="M172" s="575"/>
      <c r="N172" s="575"/>
      <c r="O172" s="575"/>
    </row>
    <row r="173" customFormat="false" ht="21.75" hidden="false" customHeight="true" outlineLevel="0" collapsed="false">
      <c r="B173" s="97" t="s">
        <v>3445</v>
      </c>
      <c r="C173" s="98" t="s">
        <v>4685</v>
      </c>
      <c r="D173" s="98" t="s">
        <v>4686</v>
      </c>
      <c r="E173" s="99" t="s">
        <v>4687</v>
      </c>
      <c r="F173" s="98" t="s">
        <v>4688</v>
      </c>
      <c r="G173" s="98" t="s">
        <v>4689</v>
      </c>
      <c r="H173" s="98" t="s">
        <v>4690</v>
      </c>
      <c r="I173" s="98" t="s">
        <v>4691</v>
      </c>
      <c r="J173" s="98" t="s">
        <v>4692</v>
      </c>
      <c r="K173" s="98" t="s">
        <v>4693</v>
      </c>
      <c r="L173" s="98" t="s">
        <v>4694</v>
      </c>
      <c r="M173" s="98" t="s">
        <v>4695</v>
      </c>
      <c r="N173" s="98" t="s">
        <v>4696</v>
      </c>
      <c r="O173" s="98" t="s">
        <v>5646</v>
      </c>
    </row>
    <row r="174" customFormat="false" ht="15" hidden="false" customHeight="true" outlineLevel="0" collapsed="false">
      <c r="B174" s="1160" t="s">
        <v>5647</v>
      </c>
      <c r="C174" s="1203" t="n">
        <v>1.1</v>
      </c>
      <c r="D174" s="1203" t="n">
        <v>0.95</v>
      </c>
      <c r="E174" s="1204" t="n">
        <v>0.95</v>
      </c>
      <c r="F174" s="1203" t="n">
        <v>1.1</v>
      </c>
      <c r="G174" s="1203" t="n">
        <v>1.15</v>
      </c>
      <c r="H174" s="1203" t="n">
        <v>1.05</v>
      </c>
      <c r="I174" s="1203" t="n">
        <v>0.55</v>
      </c>
      <c r="J174" s="1203" t="n">
        <v>0.5</v>
      </c>
      <c r="K174" s="1203" t="n">
        <v>1.3</v>
      </c>
      <c r="L174" s="1203" t="n">
        <v>1.3</v>
      </c>
      <c r="M174" s="1203" t="n">
        <v>1.2</v>
      </c>
      <c r="N174" s="1203" t="n">
        <v>0.85</v>
      </c>
      <c r="O174" s="1205" t="n">
        <f aca="false">AVERAGE(C174:N174)</f>
        <v>1</v>
      </c>
    </row>
    <row r="175" customFormat="false" ht="15" hidden="false" customHeight="true" outlineLevel="0" collapsed="false">
      <c r="B175" s="1160" t="s">
        <v>5648</v>
      </c>
      <c r="C175" s="1203" t="n">
        <v>0.671</v>
      </c>
      <c r="D175" s="1203" t="n">
        <v>0.711</v>
      </c>
      <c r="E175" s="1204" t="n">
        <v>0.761</v>
      </c>
      <c r="F175" s="1203" t="n">
        <v>0.811</v>
      </c>
      <c r="G175" s="1203" t="n">
        <v>0.901</v>
      </c>
      <c r="H175" s="1203" t="n">
        <v>1.141</v>
      </c>
      <c r="I175" s="1203" t="n">
        <v>1.761</v>
      </c>
      <c r="J175" s="1203" t="n">
        <v>1.761</v>
      </c>
      <c r="K175" s="1203" t="n">
        <v>1.101</v>
      </c>
      <c r="L175" s="1203" t="n">
        <v>0.861</v>
      </c>
      <c r="M175" s="1203" t="n">
        <v>0.811</v>
      </c>
      <c r="N175" s="1203" t="n">
        <v>0.711</v>
      </c>
      <c r="O175" s="1205" t="n">
        <f aca="false">AVERAGE(C175:N175)</f>
        <v>1.00016666666667</v>
      </c>
    </row>
    <row r="176" customFormat="false" ht="15" hidden="false" customHeight="true" outlineLevel="0" collapsed="false">
      <c r="B176" s="1160" t="s">
        <v>5649</v>
      </c>
      <c r="C176" s="1203" t="n">
        <v>1.1</v>
      </c>
      <c r="D176" s="1203" t="n">
        <v>0.85</v>
      </c>
      <c r="E176" s="1204" t="n">
        <v>0.85</v>
      </c>
      <c r="F176" s="1203" t="n">
        <v>1.2</v>
      </c>
      <c r="G176" s="1203" t="n">
        <v>1.2</v>
      </c>
      <c r="H176" s="1203" t="n">
        <v>1.2</v>
      </c>
      <c r="I176" s="1203" t="n">
        <v>0.65</v>
      </c>
      <c r="J176" s="1203" t="n">
        <v>0.6</v>
      </c>
      <c r="K176" s="1203" t="n">
        <v>1.3</v>
      </c>
      <c r="L176" s="1203" t="n">
        <v>1.3</v>
      </c>
      <c r="M176" s="1203" t="n">
        <v>1.25</v>
      </c>
      <c r="N176" s="1203" t="n">
        <v>0.5</v>
      </c>
      <c r="O176" s="1205" t="n">
        <f aca="false">AVERAGE(C176:N176)</f>
        <v>1</v>
      </c>
    </row>
    <row r="177" customFormat="false" ht="15" hidden="false" customHeight="true" outlineLevel="0" collapsed="false">
      <c r="B177" s="1160" t="s">
        <v>5650</v>
      </c>
      <c r="C177" s="1203" t="n">
        <v>1.05</v>
      </c>
      <c r="D177" s="1203" t="n">
        <v>1</v>
      </c>
      <c r="E177" s="1204" t="n">
        <v>1</v>
      </c>
      <c r="F177" s="1203" t="n">
        <v>1.05</v>
      </c>
      <c r="G177" s="1203" t="n">
        <v>1.1</v>
      </c>
      <c r="H177" s="1203" t="n">
        <v>1.05</v>
      </c>
      <c r="I177" s="1203" t="n">
        <v>0.85</v>
      </c>
      <c r="J177" s="1203" t="n">
        <v>0.8</v>
      </c>
      <c r="K177" s="1203" t="n">
        <v>1.05</v>
      </c>
      <c r="L177" s="1203" t="n">
        <v>1.1</v>
      </c>
      <c r="M177" s="1203" t="n">
        <v>1.05</v>
      </c>
      <c r="N177" s="1203" t="n">
        <v>0.9</v>
      </c>
      <c r="O177" s="1205" t="n">
        <f aca="false">AVERAGE(C177:N177)</f>
        <v>1</v>
      </c>
    </row>
    <row r="178" customFormat="false" ht="15" hidden="false" customHeight="true" outlineLevel="0" collapsed="false">
      <c r="B178" s="6"/>
      <c r="E178" s="6"/>
    </row>
    <row r="179" customFormat="false" ht="33.75" hidden="false" customHeight="true" outlineLevel="0" collapsed="false">
      <c r="B179" s="1195" t="s">
        <v>5651</v>
      </c>
      <c r="E179" s="6"/>
    </row>
    <row r="180" customFormat="false" ht="15" hidden="false" customHeight="true" outlineLevel="0" collapsed="false">
      <c r="B180" s="1160" t="s">
        <v>5652</v>
      </c>
      <c r="C180" s="1349" t="n">
        <f aca="false">C174*$C$56</f>
        <v>1716</v>
      </c>
      <c r="D180" s="1349" t="n">
        <f aca="false">D174*$C$56</f>
        <v>1482</v>
      </c>
      <c r="E180" s="1350" t="n">
        <f aca="false">E174*$C$56</f>
        <v>1482</v>
      </c>
      <c r="F180" s="1349" t="n">
        <f aca="false">F174*$C$56</f>
        <v>1716</v>
      </c>
      <c r="G180" s="1349" t="n">
        <f aca="false">G174*$C$56</f>
        <v>1794</v>
      </c>
      <c r="H180" s="1349" t="n">
        <f aca="false">H174*$C$56</f>
        <v>1638</v>
      </c>
      <c r="I180" s="1349" t="n">
        <f aca="false">I174*$C$56</f>
        <v>858</v>
      </c>
      <c r="J180" s="1349" t="n">
        <f aca="false">J174*$C$56</f>
        <v>780</v>
      </c>
      <c r="K180" s="1349" t="n">
        <f aca="false">K174*$C$56</f>
        <v>2028</v>
      </c>
      <c r="L180" s="1349" t="n">
        <f aca="false">L174*$C$56</f>
        <v>2028</v>
      </c>
      <c r="M180" s="1349" t="n">
        <f aca="false">M174*$C$56</f>
        <v>1872</v>
      </c>
      <c r="N180" s="1349" t="n">
        <f aca="false">N174*$C$56</f>
        <v>1326</v>
      </c>
      <c r="O180" s="1209" t="n">
        <f aca="false">SUM(C180:N180)</f>
        <v>18720</v>
      </c>
    </row>
    <row r="181" customFormat="false" ht="15" hidden="false" customHeight="true" outlineLevel="0" collapsed="false">
      <c r="B181" s="1213" t="s">
        <v>5653</v>
      </c>
      <c r="C181" s="1351" t="n">
        <f aca="false">$C$49</f>
        <v>48578.4</v>
      </c>
      <c r="D181" s="1351" t="n">
        <f aca="false">$C$49</f>
        <v>48578.4</v>
      </c>
      <c r="E181" s="1352" t="n">
        <f aca="false">$C$49</f>
        <v>48578.4</v>
      </c>
      <c r="F181" s="1351" t="n">
        <f aca="false">$C$49</f>
        <v>48578.4</v>
      </c>
      <c r="G181" s="1351" t="n">
        <f aca="false">$C$49</f>
        <v>48578.4</v>
      </c>
      <c r="H181" s="1351" t="n">
        <f aca="false">$C$49</f>
        <v>48578.4</v>
      </c>
      <c r="I181" s="1351" t="n">
        <f aca="false">$C$49</f>
        <v>48578.4</v>
      </c>
      <c r="J181" s="1351" t="n">
        <f aca="false">$C$49</f>
        <v>48578.4</v>
      </c>
      <c r="K181" s="1351" t="n">
        <f aca="false">$C$49</f>
        <v>48578.4</v>
      </c>
      <c r="L181" s="1351" t="n">
        <f aca="false">$C$49</f>
        <v>48578.4</v>
      </c>
      <c r="M181" s="1351" t="n">
        <f aca="false">$C$49</f>
        <v>48578.4</v>
      </c>
      <c r="N181" s="1351" t="n">
        <f aca="false">$C$49</f>
        <v>48578.4</v>
      </c>
    </row>
    <row r="182" customFormat="false" ht="15" hidden="false" customHeight="true" outlineLevel="0" collapsed="false">
      <c r="B182" s="1210" t="s">
        <v>4654</v>
      </c>
      <c r="C182" s="455" t="str">
        <f aca="false">IF(C180&gt;C181,"⚠","✓")</f>
        <v>✓</v>
      </c>
      <c r="D182" s="455" t="str">
        <f aca="false">IF(D180&gt;D181,"⚠","✓")</f>
        <v>✓</v>
      </c>
      <c r="E182" s="55" t="str">
        <f aca="false">IF(E180&gt;E181,"⚠","✓")</f>
        <v>✓</v>
      </c>
      <c r="F182" s="455" t="str">
        <f aca="false">IF(F180&gt;F181,"⚠","✓")</f>
        <v>✓</v>
      </c>
      <c r="G182" s="455" t="str">
        <f aca="false">IF(G180&gt;G181,"⚠","✓")</f>
        <v>✓</v>
      </c>
      <c r="H182" s="455" t="str">
        <f aca="false">IF(H180&gt;H181,"⚠","✓")</f>
        <v>✓</v>
      </c>
      <c r="I182" s="455" t="str">
        <f aca="false">IF(I180&gt;I181,"⚠","✓")</f>
        <v>✓</v>
      </c>
      <c r="J182" s="455" t="str">
        <f aca="false">IF(J180&gt;J181,"⚠","✓")</f>
        <v>✓</v>
      </c>
      <c r="K182" s="455" t="str">
        <f aca="false">IF(K180&gt;K181,"⚠","✓")</f>
        <v>✓</v>
      </c>
      <c r="L182" s="455" t="str">
        <f aca="false">IF(L180&gt;L181,"⚠","✓")</f>
        <v>✓</v>
      </c>
      <c r="M182" s="455" t="str">
        <f aca="false">IF(M180&gt;M181,"⚠","✓")</f>
        <v>✓</v>
      </c>
      <c r="N182" s="455" t="str">
        <f aca="false">IF(N180&gt;N181,"⚠","✓")</f>
        <v>✓</v>
      </c>
      <c r="O182" s="1216" t="str">
        <f aca="false">COUNTIF(C182:N182,"⚠")&amp;" mo over"</f>
        <v>0 mo over</v>
      </c>
    </row>
    <row r="183" customFormat="false" ht="15" hidden="false" customHeight="true" outlineLevel="0" collapsed="false">
      <c r="B183" s="6"/>
      <c r="E183" s="6"/>
    </row>
    <row r="184" customFormat="false" ht="15" hidden="false" customHeight="true" outlineLevel="0" collapsed="false">
      <c r="B184" s="1333" t="s">
        <v>5654</v>
      </c>
      <c r="E184" s="6"/>
    </row>
    <row r="185" customFormat="false" ht="15" hidden="false" customHeight="true" outlineLevel="0" collapsed="false">
      <c r="B185" s="6"/>
      <c r="E185" s="6"/>
    </row>
    <row r="186" customFormat="false" ht="15" hidden="false" customHeight="true" outlineLevel="0" collapsed="false">
      <c r="B186" s="6"/>
      <c r="E186" s="6"/>
    </row>
    <row r="187" customFormat="false" ht="15" hidden="false" customHeight="true" outlineLevel="0" collapsed="false">
      <c r="B187" s="6"/>
      <c r="E187" s="6"/>
    </row>
    <row r="188" customFormat="false" ht="33.75" hidden="false" customHeight="true" outlineLevel="0" collapsed="false">
      <c r="B188" s="575" t="s">
        <v>5655</v>
      </c>
      <c r="C188" s="575"/>
      <c r="D188" s="575"/>
      <c r="E188" s="575"/>
      <c r="F188" s="575"/>
      <c r="G188" s="575"/>
      <c r="H188" s="575"/>
      <c r="I188" s="575"/>
      <c r="J188" s="575"/>
      <c r="K188" s="575"/>
      <c r="L188" s="575"/>
      <c r="M188" s="575"/>
      <c r="N188" s="575"/>
      <c r="O188" s="575"/>
    </row>
    <row r="189" customFormat="false" ht="21.75" hidden="false" customHeight="true" outlineLevel="0" collapsed="false">
      <c r="B189" s="97" t="s">
        <v>3445</v>
      </c>
      <c r="C189" s="98" t="s">
        <v>5656</v>
      </c>
      <c r="D189" s="98" t="s">
        <v>5657</v>
      </c>
      <c r="E189" s="99" t="s">
        <v>5658</v>
      </c>
      <c r="F189" s="98" t="s">
        <v>5659</v>
      </c>
      <c r="G189" s="98" t="s">
        <v>778</v>
      </c>
    </row>
    <row r="190" customFormat="false" ht="15" hidden="false" customHeight="true" outlineLevel="0" collapsed="false">
      <c r="B190" s="1160" t="s">
        <v>5660</v>
      </c>
      <c r="C190" s="1353" t="n">
        <f aca="false">C25</f>
        <v>10</v>
      </c>
      <c r="D190" s="542" t="n">
        <f aca="false">1/C190</f>
        <v>0.1</v>
      </c>
      <c r="E190" s="1354" t="n">
        <f aca="false">1-(1-D190)^12</f>
        <v>0.717570463519</v>
      </c>
      <c r="F190" s="1355" t="n">
        <f aca="false">C26*C190</f>
        <v>1350</v>
      </c>
      <c r="G190" s="565" t="s">
        <v>5661</v>
      </c>
    </row>
    <row r="191" customFormat="false" ht="15" hidden="false" customHeight="true" outlineLevel="0" collapsed="false">
      <c r="B191" s="1160" t="s">
        <v>5662</v>
      </c>
      <c r="C191" s="1353" t="n">
        <f aca="false">C192</f>
        <v>8</v>
      </c>
      <c r="D191" s="542" t="n">
        <f aca="false">1/C191</f>
        <v>0.125</v>
      </c>
      <c r="E191" s="1354" t="n">
        <f aca="false">1-(1-D191)^12</f>
        <v>0.798582761999569</v>
      </c>
      <c r="F191" s="1355" t="n">
        <f aca="false">C33*C191</f>
        <v>960</v>
      </c>
      <c r="G191" s="565" t="s">
        <v>5663</v>
      </c>
    </row>
    <row r="192" customFormat="false" ht="84.75" hidden="false" customHeight="true" outlineLevel="0" collapsed="false">
      <c r="B192" s="1356" t="s">
        <v>5664</v>
      </c>
      <c r="C192" s="1357" t="n">
        <v>8</v>
      </c>
      <c r="E192" s="6"/>
      <c r="H192" s="538" t="s">
        <v>5665</v>
      </c>
    </row>
    <row r="193" customFormat="false" ht="15" hidden="false" customHeight="true" outlineLevel="0" collapsed="false">
      <c r="B193" s="1160" t="s">
        <v>5666</v>
      </c>
      <c r="C193" s="1353" t="n">
        <f aca="false">C165*12</f>
        <v>30</v>
      </c>
      <c r="D193" s="542" t="n">
        <f aca="false">1/C193</f>
        <v>0.0333333333333333</v>
      </c>
      <c r="E193" s="1354" t="n">
        <f aca="false">1/C165</f>
        <v>0.4</v>
      </c>
      <c r="F193" s="1355" t="n">
        <f aca="false">C166</f>
        <v>1212120</v>
      </c>
      <c r="G193" s="565" t="s">
        <v>5667</v>
      </c>
    </row>
    <row r="194" customFormat="false" ht="15" hidden="false" customHeight="true" outlineLevel="0" collapsed="false">
      <c r="B194" s="6"/>
      <c r="E194" s="6"/>
    </row>
    <row r="195" customFormat="false" ht="15" hidden="false" customHeight="true" outlineLevel="0" collapsed="false">
      <c r="B195" s="6"/>
      <c r="E195" s="6"/>
    </row>
    <row r="196" customFormat="false" ht="33.75" hidden="false" customHeight="true" outlineLevel="0" collapsed="false">
      <c r="B196" s="575" t="s">
        <v>5668</v>
      </c>
      <c r="C196" s="575"/>
      <c r="D196" s="575"/>
      <c r="E196" s="575"/>
      <c r="F196" s="575"/>
      <c r="G196" s="575"/>
      <c r="H196" s="575"/>
      <c r="I196" s="575"/>
      <c r="J196" s="575"/>
      <c r="K196" s="575"/>
      <c r="L196" s="575"/>
      <c r="M196" s="575"/>
      <c r="N196" s="575"/>
      <c r="O196" s="575"/>
    </row>
    <row r="197" customFormat="false" ht="32.25" hidden="false" customHeight="true" outlineLevel="0" collapsed="false">
      <c r="B197" s="1210" t="s">
        <v>5669</v>
      </c>
      <c r="C197" s="544" t="n">
        <f aca="false">F190</f>
        <v>1350</v>
      </c>
      <c r="E197" s="6"/>
      <c r="H197" s="538" t="s">
        <v>5670</v>
      </c>
    </row>
    <row r="198" customFormat="false" ht="32.25" hidden="false" customHeight="true" outlineLevel="0" collapsed="false">
      <c r="B198" s="1210" t="s">
        <v>5671</v>
      </c>
      <c r="C198" s="544" t="n">
        <f aca="false">C144</f>
        <v>150</v>
      </c>
      <c r="E198" s="6"/>
      <c r="H198" s="538" t="s">
        <v>5672</v>
      </c>
    </row>
    <row r="199" customFormat="false" ht="74.25" hidden="false" customHeight="true" outlineLevel="0" collapsed="false">
      <c r="B199" s="1210" t="s">
        <v>5673</v>
      </c>
      <c r="C199" s="1358" t="n">
        <f aca="false">C197/C198</f>
        <v>9</v>
      </c>
      <c r="E199" s="6"/>
      <c r="H199" s="538" t="s">
        <v>5674</v>
      </c>
    </row>
    <row r="200" customFormat="false" ht="23.25" hidden="false" customHeight="true" outlineLevel="0" collapsed="false">
      <c r="B200" s="1210" t="s">
        <v>5675</v>
      </c>
      <c r="C200" s="1219" t="str">
        <f aca="false">IF(C199&gt;=5, "✓ EXCELLENT (&gt;5x)", IF(C199&gt;=3, "✓ HEALTHY (&gt;3x)", IF(C199&gt;=1, "⚠ MARGINAL (1-3x — improve retention or lower CAC)", "🛑 CRITICAL (&lt;1x — losing money on each student)")))</f>
        <v>✓ EXCELLENT (&gt;5x)</v>
      </c>
      <c r="E200" s="6"/>
    </row>
    <row r="201" customFormat="false" ht="15" hidden="false" customHeight="true" outlineLevel="0" collapsed="false">
      <c r="B201" s="6"/>
      <c r="E201" s="6"/>
    </row>
    <row r="202" customFormat="false" ht="32.25" hidden="false" customHeight="true" outlineLevel="0" collapsed="false">
      <c r="B202" s="1160" t="s">
        <v>5676</v>
      </c>
      <c r="C202" s="547" t="n">
        <f aca="false">C166</f>
        <v>1212120</v>
      </c>
      <c r="E202" s="6"/>
      <c r="H202" s="538" t="s">
        <v>5677</v>
      </c>
    </row>
    <row r="203" customFormat="false" ht="74.25" hidden="false" customHeight="true" outlineLevel="0" collapsed="false">
      <c r="B203" s="1160" t="s">
        <v>5678</v>
      </c>
      <c r="C203" s="547" t="n">
        <f aca="false">22000*C149/C155</f>
        <v>1510.98901098901</v>
      </c>
      <c r="E203" s="6"/>
      <c r="H203" s="538" t="s">
        <v>5679</v>
      </c>
    </row>
    <row r="204" customFormat="false" ht="42.75" hidden="false" customHeight="true" outlineLevel="0" collapsed="false">
      <c r="B204" s="1210" t="s">
        <v>5680</v>
      </c>
      <c r="C204" s="1358" t="n">
        <f aca="false">C202/C203</f>
        <v>802.203054545454</v>
      </c>
      <c r="E204" s="6"/>
      <c r="H204" s="538" t="s">
        <v>5681</v>
      </c>
    </row>
    <row r="205" customFormat="false" ht="15" hidden="false" customHeight="true" outlineLevel="0" collapsed="false">
      <c r="B205" s="6"/>
      <c r="E205" s="6"/>
    </row>
    <row r="206" customFormat="false" ht="120" hidden="false" customHeight="true" outlineLevel="0" collapsed="false">
      <c r="B206" s="134" t="s">
        <v>5682</v>
      </c>
      <c r="C206" s="134"/>
      <c r="D206" s="134"/>
      <c r="E206" s="134"/>
      <c r="F206" s="134"/>
      <c r="G206" s="134"/>
      <c r="H206" s="134"/>
      <c r="I206" s="134"/>
      <c r="J206" s="134"/>
      <c r="K206" s="134"/>
      <c r="L206" s="134"/>
      <c r="M206" s="134"/>
      <c r="N206" s="134"/>
      <c r="O206" s="134"/>
    </row>
    <row r="207" customFormat="false" ht="15" hidden="false" customHeight="true" outlineLevel="0" collapsed="false">
      <c r="B207" s="6"/>
      <c r="E207" s="6"/>
    </row>
    <row r="208" customFormat="false" ht="15" hidden="false" customHeight="true" outlineLevel="0" collapsed="false">
      <c r="B208" s="6"/>
      <c r="E208" s="6"/>
    </row>
    <row r="209" customFormat="false" ht="15" hidden="false" customHeight="true" outlineLevel="0" collapsed="false">
      <c r="B209" s="6"/>
      <c r="E209" s="6"/>
    </row>
    <row r="210" customFormat="false" ht="33.75" hidden="false" customHeight="true" outlineLevel="0" collapsed="false">
      <c r="B210" s="575" t="s">
        <v>5683</v>
      </c>
      <c r="C210" s="575"/>
      <c r="D210" s="575"/>
      <c r="E210" s="575"/>
      <c r="F210" s="575"/>
      <c r="G210" s="575"/>
      <c r="H210" s="575"/>
    </row>
    <row r="211" customFormat="false" ht="21.75" hidden="false" customHeight="true" outlineLevel="0" collapsed="false">
      <c r="B211" s="97" t="s">
        <v>392</v>
      </c>
      <c r="C211" s="98" t="s">
        <v>2444</v>
      </c>
      <c r="D211" s="98" t="s">
        <v>203</v>
      </c>
      <c r="E211" s="99" t="s">
        <v>2445</v>
      </c>
    </row>
    <row r="212" customFormat="false" ht="15" hidden="false" customHeight="true" outlineLevel="0" collapsed="false">
      <c r="B212" s="113" t="s">
        <v>5684</v>
      </c>
      <c r="C212" s="385" t="n">
        <v>250</v>
      </c>
      <c r="D212" s="607" t="n">
        <v>300</v>
      </c>
      <c r="E212" s="386" t="n">
        <v>350</v>
      </c>
    </row>
    <row r="213" customFormat="false" ht="15" hidden="false" customHeight="true" outlineLevel="0" collapsed="false">
      <c r="B213" s="113" t="s">
        <v>5685</v>
      </c>
      <c r="C213" s="480" t="n">
        <v>15</v>
      </c>
      <c r="D213" s="1359" t="n">
        <v>20</v>
      </c>
      <c r="E213" s="1360" t="n">
        <v>25</v>
      </c>
    </row>
    <row r="214" customFormat="false" ht="15" hidden="false" customHeight="true" outlineLevel="0" collapsed="false">
      <c r="B214" s="113" t="s">
        <v>5686</v>
      </c>
      <c r="C214" s="480" t="n">
        <v>6</v>
      </c>
      <c r="D214" s="1359" t="n">
        <v>8</v>
      </c>
      <c r="E214" s="1360" t="n">
        <v>12</v>
      </c>
    </row>
    <row r="215" customFormat="false" ht="15" hidden="false" customHeight="true" outlineLevel="0" collapsed="false">
      <c r="B215" s="113" t="s">
        <v>5687</v>
      </c>
      <c r="C215" s="480" t="n">
        <v>10</v>
      </c>
      <c r="D215" s="1359" t="n">
        <v>15</v>
      </c>
      <c r="E215" s="1360" t="n">
        <v>25</v>
      </c>
    </row>
    <row r="216" customFormat="false" ht="15" hidden="false" customHeight="true" outlineLevel="0" collapsed="false">
      <c r="B216" s="113" t="s">
        <v>5688</v>
      </c>
      <c r="C216" s="385" t="n">
        <v>2500</v>
      </c>
      <c r="D216" s="607" t="n">
        <v>3200</v>
      </c>
      <c r="E216" s="386" t="n">
        <v>4000</v>
      </c>
    </row>
    <row r="217" customFormat="false" ht="15" hidden="false" customHeight="true" outlineLevel="0" collapsed="false">
      <c r="B217" s="6"/>
      <c r="E217" s="6"/>
    </row>
    <row r="218" customFormat="false" ht="15" hidden="false" customHeight="true" outlineLevel="0" collapsed="false">
      <c r="B218" s="304" t="s">
        <v>5689</v>
      </c>
      <c r="C218" s="304"/>
      <c r="D218" s="304"/>
      <c r="E218" s="304"/>
      <c r="F218" s="304"/>
      <c r="G218" s="304"/>
      <c r="H218" s="304"/>
    </row>
    <row r="219" customFormat="false" ht="15" hidden="false" customHeight="true" outlineLevel="0" collapsed="false">
      <c r="B219" s="1361" t="s">
        <v>5690</v>
      </c>
      <c r="C219" s="1362" t="n">
        <f aca="false">D212*D213*D214</f>
        <v>48000</v>
      </c>
      <c r="D219" s="1363" t="s">
        <v>5691</v>
      </c>
      <c r="E219" s="6"/>
    </row>
    <row r="220" customFormat="false" ht="15" hidden="false" customHeight="true" outlineLevel="0" collapsed="false">
      <c r="B220" s="1361" t="s">
        <v>5692</v>
      </c>
      <c r="C220" s="1362" t="n">
        <f aca="false">D215*D216</f>
        <v>48000</v>
      </c>
      <c r="D220" s="1363" t="s">
        <v>5693</v>
      </c>
      <c r="E220" s="6"/>
    </row>
    <row r="221" customFormat="false" ht="15" hidden="false" customHeight="true" outlineLevel="0" collapsed="false">
      <c r="B221" s="6"/>
      <c r="E221" s="6"/>
    </row>
    <row r="222" customFormat="false" ht="15" hidden="false" customHeight="true" outlineLevel="0" collapsed="false">
      <c r="B222" s="6"/>
      <c r="E222" s="6"/>
    </row>
    <row r="223" customFormat="false" ht="15" hidden="false" customHeight="true" outlineLevel="0" collapsed="false">
      <c r="B223" s="6"/>
      <c r="E223" s="6"/>
    </row>
    <row r="224" customFormat="false" ht="15" hidden="false" customHeight="true" outlineLevel="0" collapsed="false">
      <c r="B224" s="6"/>
      <c r="E224" s="6"/>
    </row>
    <row r="225" customFormat="false" ht="33.75" hidden="false" customHeight="true" outlineLevel="0" collapsed="false">
      <c r="B225" s="6" t="s">
        <v>5694</v>
      </c>
      <c r="E225" s="6"/>
      <c r="F225" s="0" t="s">
        <v>5695</v>
      </c>
    </row>
    <row r="226" customFormat="false" ht="15" hidden="false" customHeight="true" outlineLevel="0" collapsed="false">
      <c r="B226" s="6" t="s">
        <v>392</v>
      </c>
      <c r="C226" s="0" t="s">
        <v>2444</v>
      </c>
      <c r="D226" s="0" t="s">
        <v>203</v>
      </c>
      <c r="E226" s="6" t="s">
        <v>2445</v>
      </c>
      <c r="F226" s="0" t="s">
        <v>395</v>
      </c>
    </row>
    <row r="227" customFormat="false" ht="15" hidden="false" customHeight="true" outlineLevel="0" collapsed="false">
      <c r="B227" s="6" t="s">
        <v>5696</v>
      </c>
      <c r="E227" s="6"/>
    </row>
    <row r="228" customFormat="false" ht="15" hidden="false" customHeight="true" outlineLevel="0" collapsed="false">
      <c r="B228" s="6" t="s">
        <v>5697</v>
      </c>
      <c r="C228" s="0" t="n">
        <v>4</v>
      </c>
      <c r="D228" s="0" t="n">
        <v>8</v>
      </c>
      <c r="E228" s="6" t="n">
        <v>12</v>
      </c>
      <c r="F228" s="0" t="s">
        <v>5698</v>
      </c>
    </row>
    <row r="229" customFormat="false" ht="15" hidden="false" customHeight="true" outlineLevel="0" collapsed="false">
      <c r="B229" s="6" t="s">
        <v>5699</v>
      </c>
      <c r="C229" s="0" t="n">
        <v>15</v>
      </c>
      <c r="D229" s="0" t="n">
        <v>25</v>
      </c>
      <c r="E229" s="6" t="n">
        <v>35</v>
      </c>
      <c r="F229" s="0" t="s">
        <v>5700</v>
      </c>
    </row>
    <row r="230" customFormat="false" ht="15" hidden="false" customHeight="true" outlineLevel="0" collapsed="false">
      <c r="B230" s="6" t="s">
        <v>5701</v>
      </c>
      <c r="C230" s="0" t="n">
        <v>25</v>
      </c>
      <c r="D230" s="0" t="n">
        <v>40</v>
      </c>
      <c r="E230" s="6" t="n">
        <v>55</v>
      </c>
      <c r="F230" s="0" t="s">
        <v>5702</v>
      </c>
    </row>
    <row r="231" customFormat="false" ht="15" hidden="false" customHeight="true" outlineLevel="0" collapsed="false">
      <c r="B231" s="6" t="s">
        <v>5703</v>
      </c>
      <c r="C231" s="0" t="n">
        <v>40</v>
      </c>
      <c r="D231" s="0" t="n">
        <v>60</v>
      </c>
      <c r="E231" s="6" t="n">
        <v>80</v>
      </c>
      <c r="F231" s="0" t="s">
        <v>5704</v>
      </c>
    </row>
    <row r="232" customFormat="false" ht="15" hidden="false" customHeight="true" outlineLevel="0" collapsed="false">
      <c r="B232" s="6" t="s">
        <v>5705</v>
      </c>
      <c r="C232" s="0" t="n">
        <v>400</v>
      </c>
      <c r="D232" s="0" t="n">
        <v>600</v>
      </c>
      <c r="E232" s="6" t="n">
        <v>900</v>
      </c>
      <c r="F232" s="0" t="s">
        <v>5706</v>
      </c>
    </row>
    <row r="233" customFormat="false" ht="15" hidden="false" customHeight="true" outlineLevel="0" collapsed="false">
      <c r="B233" s="6" t="s">
        <v>5707</v>
      </c>
      <c r="C233" s="0" t="n">
        <v>250</v>
      </c>
      <c r="D233" s="0" t="n">
        <v>400</v>
      </c>
      <c r="E233" s="6" t="n">
        <v>600</v>
      </c>
      <c r="F233" s="0" t="s">
        <v>5708</v>
      </c>
    </row>
    <row r="234" customFormat="false" ht="15" hidden="false" customHeight="true" outlineLevel="0" collapsed="false">
      <c r="B234" s="6" t="s">
        <v>5709</v>
      </c>
      <c r="C234" s="0" t="n">
        <v>0.5</v>
      </c>
      <c r="D234" s="0" t="n">
        <v>0.65</v>
      </c>
      <c r="E234" s="6" t="n">
        <v>0.75</v>
      </c>
      <c r="F234" s="0" t="s">
        <v>5710</v>
      </c>
    </row>
    <row r="235" customFormat="false" ht="15" hidden="false" customHeight="true" outlineLevel="0" collapsed="false">
      <c r="B235" s="6"/>
      <c r="E235" s="6"/>
    </row>
    <row r="236" customFormat="false" ht="15" hidden="false" customHeight="true" outlineLevel="0" collapsed="false">
      <c r="B236" s="6" t="s">
        <v>5711</v>
      </c>
      <c r="E236" s="6"/>
    </row>
    <row r="237" customFormat="false" ht="15" hidden="false" customHeight="true" outlineLevel="0" collapsed="false">
      <c r="B237" s="6" t="s">
        <v>5712</v>
      </c>
      <c r="C237" s="0" t="n">
        <v>3</v>
      </c>
      <c r="D237" s="0" t="n">
        <v>5</v>
      </c>
      <c r="E237" s="6" t="n">
        <v>10</v>
      </c>
      <c r="F237" s="0" t="s">
        <v>5713</v>
      </c>
    </row>
    <row r="238" customFormat="false" ht="15" hidden="false" customHeight="true" outlineLevel="0" collapsed="false">
      <c r="B238" s="6" t="s">
        <v>5714</v>
      </c>
      <c r="C238" s="0" t="n">
        <v>8</v>
      </c>
      <c r="D238" s="0" t="n">
        <v>15</v>
      </c>
      <c r="E238" s="6" t="n">
        <v>25</v>
      </c>
      <c r="F238" s="0" t="s">
        <v>5715</v>
      </c>
    </row>
    <row r="239" customFormat="false" ht="15" hidden="false" customHeight="true" outlineLevel="0" collapsed="false">
      <c r="B239" s="6" t="s">
        <v>5716</v>
      </c>
      <c r="C239" s="0" t="n">
        <v>15</v>
      </c>
      <c r="D239" s="0" t="n">
        <v>30</v>
      </c>
      <c r="E239" s="6" t="n">
        <v>50</v>
      </c>
      <c r="F239" s="0" t="s">
        <v>5717</v>
      </c>
    </row>
    <row r="240" customFormat="false" ht="15" hidden="false" customHeight="true" outlineLevel="0" collapsed="false">
      <c r="B240" s="6" t="s">
        <v>5718</v>
      </c>
      <c r="C240" s="0" t="n">
        <v>2000</v>
      </c>
      <c r="D240" s="0" t="n">
        <v>3000</v>
      </c>
      <c r="E240" s="6" t="n">
        <v>4500</v>
      </c>
      <c r="F240" s="0" t="s">
        <v>5719</v>
      </c>
    </row>
    <row r="241" customFormat="false" ht="15" hidden="false" customHeight="true" outlineLevel="0" collapsed="false">
      <c r="B241" s="6"/>
      <c r="E241" s="6"/>
    </row>
    <row r="242" customFormat="false" ht="33.75" hidden="false" customHeight="true" outlineLevel="0" collapsed="false">
      <c r="B242" s="6" t="s">
        <v>5720</v>
      </c>
      <c r="E242" s="6"/>
    </row>
    <row r="243" customFormat="false" ht="15" hidden="false" customHeight="true" outlineLevel="0" collapsed="false">
      <c r="B243" s="6" t="s">
        <v>5721</v>
      </c>
      <c r="E243" s="6"/>
    </row>
    <row r="244" customFormat="false" ht="15" hidden="false" customHeight="true" outlineLevel="0" collapsed="false">
      <c r="B244" s="6" t="s">
        <v>5722</v>
      </c>
      <c r="C244" s="0" t="n">
        <f aca="false">IF($G$5="Bear",C228,IF($G$5="Bull",E228,D228))</f>
        <v>8</v>
      </c>
      <c r="E244" s="6"/>
    </row>
    <row r="245" customFormat="false" ht="15" hidden="false" customHeight="true" outlineLevel="0" collapsed="false">
      <c r="B245" s="6" t="s">
        <v>5723</v>
      </c>
      <c r="C245" s="0" t="n">
        <f aca="false">IF($G$5="Bear",C229,IF($G$5="Bull",E229,D229))</f>
        <v>25</v>
      </c>
      <c r="E245" s="6"/>
    </row>
    <row r="246" customFormat="false" ht="15" hidden="false" customHeight="true" outlineLevel="0" collapsed="false">
      <c r="B246" s="6" t="s">
        <v>5724</v>
      </c>
      <c r="C246" s="0" t="n">
        <f aca="false">IF($G$5="Bear",C230,IF($G$5="Bull",E230,D230))</f>
        <v>40</v>
      </c>
      <c r="E246" s="6"/>
    </row>
    <row r="247" customFormat="false" ht="15" hidden="false" customHeight="true" outlineLevel="0" collapsed="false">
      <c r="B247" s="6" t="s">
        <v>5725</v>
      </c>
      <c r="C247" s="0" t="n">
        <f aca="false">IF($G$5="Bear",C231,IF($G$5="Bull",E231,D231))</f>
        <v>60</v>
      </c>
      <c r="E247" s="6"/>
    </row>
    <row r="248" customFormat="false" ht="15" hidden="false" customHeight="true" outlineLevel="0" collapsed="false">
      <c r="B248" s="6" t="s">
        <v>5726</v>
      </c>
      <c r="C248" s="0" t="n">
        <f aca="false">IF($G$5="Bear",C232,IF($G$5="Bull",E232,D232))</f>
        <v>600</v>
      </c>
      <c r="E248" s="6"/>
    </row>
    <row r="249" customFormat="false" ht="15" hidden="false" customHeight="true" outlineLevel="0" collapsed="false">
      <c r="B249" s="6" t="s">
        <v>5727</v>
      </c>
      <c r="C249" s="0" t="n">
        <f aca="false">IF($G$5="Bear",C233,IF($G$5="Bull",E233,D233))</f>
        <v>400</v>
      </c>
      <c r="E249" s="6"/>
    </row>
    <row r="250" customFormat="false" ht="15" hidden="false" customHeight="true" outlineLevel="0" collapsed="false">
      <c r="B250" s="6" t="s">
        <v>5728</v>
      </c>
      <c r="C250" s="0" t="n">
        <f aca="false">IF($G$5="Bear",C234,IF($G$5="Bull",E234,D234))</f>
        <v>0.65</v>
      </c>
      <c r="E250" s="6"/>
    </row>
    <row r="251" customFormat="false" ht="15" hidden="false" customHeight="true" outlineLevel="0" collapsed="false">
      <c r="B251" s="6" t="s">
        <v>5729</v>
      </c>
      <c r="C251" s="0" t="n">
        <f aca="false">IF($G$5="Bear",C237,IF($G$5="Bull",E237,D237))</f>
        <v>5</v>
      </c>
      <c r="E251" s="6"/>
    </row>
    <row r="252" customFormat="false" ht="15" hidden="false" customHeight="true" outlineLevel="0" collapsed="false">
      <c r="B252" s="6" t="s">
        <v>5730</v>
      </c>
      <c r="C252" s="0" t="n">
        <f aca="false">IF($G$5="Bear",C238,IF($G$5="Bull",E238,D238))</f>
        <v>15</v>
      </c>
      <c r="E252" s="6"/>
    </row>
    <row r="253" customFormat="false" ht="15" hidden="false" customHeight="true" outlineLevel="0" collapsed="false">
      <c r="B253" s="6" t="s">
        <v>5731</v>
      </c>
      <c r="C253" s="0" t="n">
        <f aca="false">IF($G$5="Bear",C239,IF($G$5="Bull",E239,D239))</f>
        <v>30</v>
      </c>
      <c r="E253" s="6"/>
    </row>
    <row r="254" customFormat="false" ht="15" hidden="false" customHeight="true" outlineLevel="0" collapsed="false">
      <c r="B254" s="6" t="s">
        <v>5732</v>
      </c>
      <c r="C254" s="0" t="n">
        <f aca="false">IF($G$5="Bear",C240,IF($G$5="Bull",E240,D240))</f>
        <v>3000</v>
      </c>
      <c r="E254" s="6"/>
    </row>
    <row r="255" customFormat="false" ht="15" hidden="false" customHeight="true" outlineLevel="0" collapsed="false">
      <c r="B255" s="6"/>
      <c r="E255" s="6"/>
    </row>
    <row r="256" customFormat="false" ht="15" hidden="false" customHeight="true" outlineLevel="0" collapsed="false">
      <c r="B256" s="6" t="s">
        <v>5733</v>
      </c>
      <c r="E256" s="6"/>
    </row>
    <row r="257" customFormat="false" ht="15" hidden="false" customHeight="true" outlineLevel="0" collapsed="false">
      <c r="B257" s="6" t="s">
        <v>5734</v>
      </c>
      <c r="C257" s="0" t="n">
        <f aca="false">C247*C248</f>
        <v>36000</v>
      </c>
      <c r="D257" s="0" t="s">
        <v>5735</v>
      </c>
      <c r="E257" s="6"/>
    </row>
    <row r="258" customFormat="false" ht="33.75" hidden="false" customHeight="true" outlineLevel="0" collapsed="false">
      <c r="B258" s="6" t="s">
        <v>5736</v>
      </c>
      <c r="C258" s="0" t="n">
        <f aca="false">C247*C249*C250</f>
        <v>15600</v>
      </c>
      <c r="D258" s="0" t="s">
        <v>5737</v>
      </c>
      <c r="E258" s="6"/>
    </row>
    <row r="259" customFormat="false" ht="15" hidden="false" customHeight="true" outlineLevel="0" collapsed="false">
      <c r="B259" s="6" t="s">
        <v>5738</v>
      </c>
      <c r="C259" s="0" t="n">
        <f aca="false">C252*C254</f>
        <v>45000</v>
      </c>
      <c r="D259" s="0" t="s">
        <v>5739</v>
      </c>
      <c r="E259" s="6"/>
    </row>
    <row r="260" customFormat="false" ht="15" hidden="false" customHeight="true" outlineLevel="0" collapsed="false">
      <c r="B260" s="6" t="s">
        <v>5740</v>
      </c>
      <c r="C260" s="0" t="n">
        <f aca="false">C257+C258+C259</f>
        <v>96600</v>
      </c>
      <c r="E260" s="6"/>
    </row>
    <row r="261" customFormat="false" ht="15" hidden="false" customHeight="true" outlineLevel="0" collapsed="false">
      <c r="B261" s="6"/>
      <c r="E261" s="6"/>
    </row>
    <row r="262" customFormat="false" ht="15" hidden="false" customHeight="true" outlineLevel="0" collapsed="false">
      <c r="B262" s="6" t="s">
        <v>5741</v>
      </c>
      <c r="E262" s="6"/>
    </row>
    <row r="263" customFormat="false" ht="15" hidden="false" customHeight="true" outlineLevel="0" collapsed="false">
      <c r="B263" s="6" t="s">
        <v>5742</v>
      </c>
      <c r="C263" s="0" t="n">
        <v>18000</v>
      </c>
      <c r="E263" s="6"/>
    </row>
    <row r="264" customFormat="false" ht="15" hidden="false" customHeight="true" outlineLevel="0" collapsed="false">
      <c r="B264" s="6" t="s">
        <v>5743</v>
      </c>
      <c r="C264" s="0" t="n">
        <v>10000</v>
      </c>
      <c r="E264" s="6"/>
    </row>
    <row r="265" customFormat="false" ht="15" hidden="false" customHeight="true" outlineLevel="0" collapsed="false">
      <c r="B265" s="6" t="s">
        <v>5744</v>
      </c>
      <c r="C265" s="0" t="n">
        <v>15000</v>
      </c>
      <c r="E265" s="6"/>
    </row>
    <row r="266" customFormat="false" ht="15" hidden="false" customHeight="true" outlineLevel="0" collapsed="false">
      <c r="B266" s="6" t="s">
        <v>5745</v>
      </c>
      <c r="C266" s="0" t="n">
        <v>4000</v>
      </c>
      <c r="E266" s="6"/>
    </row>
    <row r="267" customFormat="false" ht="15" hidden="false" customHeight="true" outlineLevel="0" collapsed="false">
      <c r="B267" s="6" t="s">
        <v>5746</v>
      </c>
      <c r="C267" s="0" t="n">
        <v>2000</v>
      </c>
      <c r="E267" s="6"/>
    </row>
    <row r="268" customFormat="false" ht="15" hidden="false" customHeight="true" outlineLevel="0" collapsed="false">
      <c r="B268" s="6" t="s">
        <v>5747</v>
      </c>
      <c r="C268" s="0" t="n">
        <f aca="false">SUM(C263:C267)</f>
        <v>49000</v>
      </c>
      <c r="E268" s="6"/>
    </row>
  </sheetData>
  <mergeCells count="22">
    <mergeCell ref="B2:F2"/>
    <mergeCell ref="G2:J2"/>
    <mergeCell ref="B3:J3"/>
    <mergeCell ref="G4:H4"/>
    <mergeCell ref="B5:E5"/>
    <mergeCell ref="B22:H22"/>
    <mergeCell ref="B38:H38"/>
    <mergeCell ref="B51:H51"/>
    <mergeCell ref="B58:H58"/>
    <mergeCell ref="B63:H63"/>
    <mergeCell ref="B86:H86"/>
    <mergeCell ref="B91:H91"/>
    <mergeCell ref="B102:H102"/>
    <mergeCell ref="B112:H112"/>
    <mergeCell ref="B124:O124"/>
    <mergeCell ref="B147:O147"/>
    <mergeCell ref="B172:O172"/>
    <mergeCell ref="B188:O188"/>
    <mergeCell ref="B196:O196"/>
    <mergeCell ref="B206:O206"/>
    <mergeCell ref="B210:H210"/>
    <mergeCell ref="B218:H218"/>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A1:I6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M13" activeCellId="0" sqref="M13"/>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11"/>
    <col collapsed="false" customWidth="true" hidden="false" outlineLevel="0" max="4" min="4" style="0" width="23"/>
    <col collapsed="false" customWidth="true" hidden="false" outlineLevel="0" max="6" min="5" style="0" width="15"/>
    <col collapsed="false" customWidth="true" hidden="false" outlineLevel="0" max="7" min="7" style="0" width="28"/>
    <col collapsed="false" customWidth="true" hidden="false" outlineLevel="0" max="9" min="8" style="0" width="9"/>
  </cols>
  <sheetData>
    <row r="1" customFormat="false" ht="3.75" hidden="false" customHeight="true" outlineLevel="0" collapsed="false">
      <c r="A1" s="314"/>
      <c r="B1" s="315"/>
      <c r="C1" s="316"/>
      <c r="D1" s="315"/>
      <c r="E1" s="316"/>
      <c r="F1" s="316"/>
      <c r="G1" s="316"/>
      <c r="H1" s="2"/>
      <c r="I1" s="2"/>
    </row>
    <row r="2" customFormat="false" ht="27.75" hidden="false" customHeight="true" outlineLevel="0" collapsed="false">
      <c r="A2" s="314"/>
      <c r="B2" s="15" t="s">
        <v>5748</v>
      </c>
      <c r="C2" s="15"/>
      <c r="D2" s="15"/>
      <c r="E2" s="15"/>
      <c r="F2" s="15"/>
      <c r="G2" s="89" t="s">
        <v>995</v>
      </c>
      <c r="H2" s="89"/>
      <c r="I2" s="89"/>
    </row>
    <row r="3" customFormat="false" ht="48.75" hidden="false" customHeight="true" outlineLevel="0" collapsed="false">
      <c r="A3" s="314"/>
      <c r="B3" s="529" t="s">
        <v>5749</v>
      </c>
      <c r="C3" s="529"/>
      <c r="D3" s="529"/>
      <c r="E3" s="529"/>
      <c r="F3" s="529"/>
      <c r="G3" s="529"/>
      <c r="H3" s="529"/>
      <c r="I3" s="529"/>
    </row>
    <row r="4" customFormat="false" ht="15" hidden="false" customHeight="true" outlineLevel="0" collapsed="false">
      <c r="A4" s="314"/>
      <c r="B4" s="317"/>
      <c r="C4" s="314"/>
      <c r="D4" s="317"/>
      <c r="E4" s="314"/>
      <c r="F4" s="314" t="s">
        <v>3856</v>
      </c>
      <c r="G4" s="314"/>
    </row>
    <row r="5" customFormat="false" ht="63.75" hidden="false" customHeight="true" outlineLevel="0" collapsed="false">
      <c r="A5" s="314"/>
      <c r="B5" s="1255" t="s">
        <v>5750</v>
      </c>
      <c r="C5" s="1255"/>
      <c r="D5" s="1255"/>
      <c r="E5" s="1255"/>
      <c r="F5" s="1255"/>
      <c r="G5" s="1255"/>
      <c r="H5" s="1255"/>
      <c r="I5" s="1255"/>
    </row>
    <row r="6" customFormat="false" ht="15" hidden="false" customHeight="true" outlineLevel="0" collapsed="false">
      <c r="A6" s="314"/>
      <c r="B6" s="317"/>
      <c r="C6" s="314"/>
      <c r="D6" s="317"/>
      <c r="E6" s="314"/>
      <c r="F6" s="314"/>
      <c r="G6" s="314"/>
    </row>
    <row r="7" customFormat="false" ht="21.75" hidden="false" customHeight="true" outlineLevel="0" collapsed="false">
      <c r="A7" s="314"/>
      <c r="B7" s="97" t="s">
        <v>3857</v>
      </c>
      <c r="C7" s="98" t="s">
        <v>393</v>
      </c>
      <c r="D7" s="99" t="s">
        <v>1658</v>
      </c>
      <c r="E7" s="98" t="s">
        <v>3083</v>
      </c>
      <c r="F7" s="98" t="s">
        <v>102</v>
      </c>
      <c r="G7" s="98" t="s">
        <v>3859</v>
      </c>
    </row>
    <row r="8" customFormat="false" ht="21.75" hidden="false" customHeight="true" outlineLevel="0" collapsed="false">
      <c r="A8" s="314"/>
      <c r="B8" s="575" t="s">
        <v>5751</v>
      </c>
      <c r="C8" s="575"/>
      <c r="D8" s="575"/>
      <c r="E8" s="575"/>
      <c r="F8" s="575"/>
      <c r="G8" s="575"/>
      <c r="H8" s="575"/>
      <c r="I8" s="575"/>
    </row>
    <row r="9" customFormat="false" ht="27.75" hidden="false" customHeight="true" outlineLevel="0" collapsed="false">
      <c r="A9" s="314"/>
      <c r="B9" s="113" t="s">
        <v>5752</v>
      </c>
      <c r="C9" s="1218" t="n">
        <f aca="false">'Academy · Drivers'!D7</f>
        <v>0.9</v>
      </c>
      <c r="D9" s="108" t="s">
        <v>5753</v>
      </c>
      <c r="E9" s="1256" t="s">
        <v>4796</v>
      </c>
      <c r="F9" s="1216" t="s">
        <v>3864</v>
      </c>
      <c r="G9" s="1258" t="s">
        <v>5754</v>
      </c>
    </row>
    <row r="10" customFormat="false" ht="27.75" hidden="false" customHeight="true" outlineLevel="0" collapsed="false">
      <c r="A10" s="314"/>
      <c r="B10" s="113" t="s">
        <v>5755</v>
      </c>
      <c r="C10" s="1218" t="n">
        <f aca="false">'Academy · Drivers'!D8</f>
        <v>0.05</v>
      </c>
      <c r="D10" s="108" t="s">
        <v>5756</v>
      </c>
      <c r="E10" s="1261" t="s">
        <v>4821</v>
      </c>
      <c r="F10" s="1216" t="s">
        <v>1600</v>
      </c>
      <c r="G10" s="1258" t="s">
        <v>5757</v>
      </c>
    </row>
    <row r="11" customFormat="false" ht="27.75" hidden="false" customHeight="true" outlineLevel="0" collapsed="false">
      <c r="A11" s="314"/>
      <c r="B11" s="113" t="s">
        <v>5402</v>
      </c>
      <c r="C11" s="541" t="n">
        <f aca="false">'Academy · Drivers'!D12</f>
        <v>3</v>
      </c>
      <c r="D11" s="108" t="s">
        <v>3917</v>
      </c>
      <c r="E11" s="1260" t="s">
        <v>4807</v>
      </c>
      <c r="F11" s="1259" t="s">
        <v>4803</v>
      </c>
      <c r="G11" s="1258" t="s">
        <v>5758</v>
      </c>
    </row>
    <row r="12" customFormat="false" ht="27.75" hidden="false" customHeight="true" outlineLevel="0" collapsed="false">
      <c r="A12" s="314"/>
      <c r="B12" s="113" t="s">
        <v>4580</v>
      </c>
      <c r="C12" s="541" t="n">
        <f aca="false">'Academy · Drivers'!D13</f>
        <v>26</v>
      </c>
      <c r="D12" s="108" t="s">
        <v>5759</v>
      </c>
      <c r="E12" s="1260" t="s">
        <v>4807</v>
      </c>
      <c r="F12" s="1364" t="s">
        <v>2765</v>
      </c>
      <c r="G12" s="1258" t="s">
        <v>5760</v>
      </c>
    </row>
    <row r="13" customFormat="false" ht="27.75" hidden="false" customHeight="true" outlineLevel="0" collapsed="false">
      <c r="A13" s="314"/>
      <c r="B13" s="113" t="s">
        <v>5477</v>
      </c>
      <c r="C13" s="541" t="n">
        <f aca="false">'Academy · Drivers'!C55</f>
        <v>8</v>
      </c>
      <c r="D13" s="108" t="s">
        <v>5761</v>
      </c>
      <c r="E13" s="1256" t="s">
        <v>4796</v>
      </c>
      <c r="F13" s="1259" t="s">
        <v>4803</v>
      </c>
      <c r="G13" s="1258" t="s">
        <v>5762</v>
      </c>
    </row>
    <row r="14" customFormat="false" ht="27.75" hidden="false" customHeight="true" outlineLevel="0" collapsed="false">
      <c r="A14" s="314"/>
      <c r="B14" s="113" t="s">
        <v>5763</v>
      </c>
      <c r="C14" s="541" t="n">
        <f aca="false">'Academy · Drivers'!C47</f>
        <v>692</v>
      </c>
      <c r="D14" s="108" t="s">
        <v>5764</v>
      </c>
      <c r="E14" s="1260" t="s">
        <v>4807</v>
      </c>
      <c r="F14" s="1216" t="s">
        <v>1600</v>
      </c>
      <c r="G14" s="1258" t="s">
        <v>5765</v>
      </c>
    </row>
    <row r="15" customFormat="false" ht="27.75" hidden="false" customHeight="true" outlineLevel="0" collapsed="false">
      <c r="A15" s="314"/>
      <c r="B15" s="113" t="s">
        <v>5470</v>
      </c>
      <c r="C15" s="541" t="n">
        <f aca="false">'Academy · Drivers'!C52</f>
        <v>46800</v>
      </c>
      <c r="D15" s="108" t="s">
        <v>3862</v>
      </c>
      <c r="E15" s="1256" t="s">
        <v>4796</v>
      </c>
      <c r="F15" s="1259" t="s">
        <v>4803</v>
      </c>
      <c r="G15" s="1258" t="s">
        <v>5766</v>
      </c>
    </row>
    <row r="16" customFormat="false" ht="21.75" hidden="false" customHeight="true" outlineLevel="0" collapsed="false">
      <c r="A16" s="314"/>
      <c r="B16" s="575" t="s">
        <v>5767</v>
      </c>
      <c r="C16" s="575"/>
      <c r="D16" s="575"/>
      <c r="E16" s="575"/>
      <c r="F16" s="575"/>
      <c r="G16" s="575"/>
      <c r="H16" s="575"/>
      <c r="I16" s="575"/>
    </row>
    <row r="17" customFormat="false" ht="27.75" hidden="false" customHeight="true" outlineLevel="0" collapsed="false">
      <c r="A17" s="314"/>
      <c r="B17" s="113" t="s">
        <v>5398</v>
      </c>
      <c r="C17" s="547" t="n">
        <f aca="false">'Academy · Drivers'!D10</f>
        <v>135</v>
      </c>
      <c r="D17" s="108" t="s">
        <v>5768</v>
      </c>
      <c r="E17" s="1260" t="s">
        <v>4807</v>
      </c>
      <c r="F17" s="1216" t="s">
        <v>3864</v>
      </c>
      <c r="G17" s="1258" t="s">
        <v>5769</v>
      </c>
    </row>
    <row r="18" customFormat="false" ht="27.75" hidden="false" customHeight="true" outlineLevel="0" collapsed="false">
      <c r="A18" s="314"/>
      <c r="B18" s="113" t="s">
        <v>5770</v>
      </c>
      <c r="C18" s="1218" t="n">
        <f aca="false">'Academy · Drivers'!D88</f>
        <v>150</v>
      </c>
      <c r="D18" s="108" t="s">
        <v>5771</v>
      </c>
      <c r="E18" s="1256" t="s">
        <v>4796</v>
      </c>
      <c r="F18" s="1259" t="s">
        <v>4803</v>
      </c>
      <c r="G18" s="1258" t="s">
        <v>5772</v>
      </c>
    </row>
    <row r="19" customFormat="false" ht="27.75" hidden="false" customHeight="true" outlineLevel="0" collapsed="false">
      <c r="A19" s="314"/>
      <c r="B19" s="113" t="s">
        <v>5516</v>
      </c>
      <c r="C19" s="1218" t="n">
        <f aca="false">'Academy · Drivers'!C87</f>
        <v>0.3</v>
      </c>
      <c r="D19" s="108" t="s">
        <v>5773</v>
      </c>
      <c r="E19" s="1261" t="s">
        <v>4821</v>
      </c>
      <c r="F19" s="1259" t="s">
        <v>4803</v>
      </c>
      <c r="G19" s="1258" t="s">
        <v>5774</v>
      </c>
    </row>
    <row r="20" customFormat="false" ht="27.75" hidden="false" customHeight="true" outlineLevel="0" collapsed="false">
      <c r="A20" s="314"/>
      <c r="B20" s="113" t="s">
        <v>5775</v>
      </c>
      <c r="C20" s="547" t="n">
        <f aca="false">'Academy · Drivers'!C90</f>
        <v>139.5</v>
      </c>
      <c r="D20" s="108" t="s">
        <v>5776</v>
      </c>
      <c r="E20" s="1256" t="s">
        <v>4796</v>
      </c>
      <c r="F20" s="1216" t="s">
        <v>1600</v>
      </c>
      <c r="G20" s="1258" t="s">
        <v>5777</v>
      </c>
    </row>
    <row r="21" customFormat="false" ht="27.75" hidden="false" customHeight="true" outlineLevel="0" collapsed="false">
      <c r="A21" s="314"/>
      <c r="B21" s="113" t="s">
        <v>5778</v>
      </c>
      <c r="C21" s="547" t="n">
        <f aca="false">'Academy · Drivers'!D11</f>
        <v>250</v>
      </c>
      <c r="D21" s="108" t="s">
        <v>5779</v>
      </c>
      <c r="E21" s="1256" t="s">
        <v>4796</v>
      </c>
      <c r="F21" s="1364" t="s">
        <v>2765</v>
      </c>
      <c r="G21" s="1258" t="s">
        <v>5780</v>
      </c>
    </row>
    <row r="22" customFormat="false" ht="27.75" hidden="false" customHeight="true" outlineLevel="0" collapsed="false">
      <c r="A22" s="314"/>
      <c r="B22" s="113" t="s">
        <v>5781</v>
      </c>
      <c r="C22" s="1365" t="n">
        <f aca="false">'Academy · Drivers'!D9</f>
        <v>10</v>
      </c>
      <c r="D22" s="108" t="s">
        <v>5782</v>
      </c>
      <c r="E22" s="1256" t="s">
        <v>4796</v>
      </c>
      <c r="F22" s="1216" t="s">
        <v>5783</v>
      </c>
      <c r="G22" s="1258" t="s">
        <v>5784</v>
      </c>
    </row>
    <row r="23" customFormat="false" ht="21.75" hidden="false" customHeight="true" outlineLevel="0" collapsed="false">
      <c r="B23" s="575" t="s">
        <v>5785</v>
      </c>
      <c r="C23" s="575"/>
      <c r="D23" s="575"/>
      <c r="E23" s="575"/>
      <c r="F23" s="575"/>
      <c r="G23" s="575"/>
      <c r="H23" s="575"/>
      <c r="I23" s="575"/>
    </row>
    <row r="24" customFormat="false" ht="27.75" hidden="false" customHeight="true" outlineLevel="0" collapsed="false">
      <c r="B24" s="113" t="s">
        <v>5786</v>
      </c>
      <c r="C24" s="541" t="n">
        <f aca="false">'Academy · Drivers'!D14</f>
        <v>20</v>
      </c>
      <c r="D24" s="108" t="s">
        <v>5787</v>
      </c>
      <c r="E24" s="1261" t="s">
        <v>4821</v>
      </c>
      <c r="F24" s="1216" t="s">
        <v>3864</v>
      </c>
      <c r="G24" s="1258" t="s">
        <v>5788</v>
      </c>
    </row>
    <row r="25" customFormat="false" ht="27.75" hidden="false" customHeight="true" outlineLevel="0" collapsed="false">
      <c r="B25" s="113" t="s">
        <v>5789</v>
      </c>
      <c r="C25" s="547" t="n">
        <f aca="false">'Academy · Drivers'!D15</f>
        <v>3700</v>
      </c>
      <c r="D25" s="108" t="s">
        <v>5790</v>
      </c>
      <c r="E25" s="1256" t="s">
        <v>4796</v>
      </c>
      <c r="F25" s="1216" t="s">
        <v>1600</v>
      </c>
      <c r="G25" s="1258" t="s">
        <v>5791</v>
      </c>
    </row>
    <row r="26" customFormat="false" ht="21.75" hidden="false" customHeight="true" outlineLevel="0" collapsed="false">
      <c r="B26" s="575" t="s">
        <v>5792</v>
      </c>
      <c r="C26" s="575"/>
      <c r="D26" s="575"/>
      <c r="E26" s="575"/>
      <c r="F26" s="575"/>
      <c r="G26" s="575"/>
      <c r="H26" s="575"/>
      <c r="I26" s="575"/>
    </row>
    <row r="27" customFormat="false" ht="27.75" hidden="false" customHeight="true" outlineLevel="0" collapsed="false">
      <c r="B27" s="113" t="s">
        <v>5793</v>
      </c>
      <c r="C27" s="541" t="n">
        <f aca="false">'Academy · Drivers'!D16</f>
        <v>70</v>
      </c>
      <c r="D27" s="108" t="s">
        <v>5794</v>
      </c>
      <c r="E27" s="1260" t="s">
        <v>4807</v>
      </c>
      <c r="F27" s="1259" t="s">
        <v>4803</v>
      </c>
      <c r="G27" s="1258" t="s">
        <v>5795</v>
      </c>
    </row>
    <row r="28" customFormat="false" ht="27.75" hidden="false" customHeight="true" outlineLevel="0" collapsed="false">
      <c r="B28" s="113" t="s">
        <v>5413</v>
      </c>
      <c r="C28" s="1218" t="n">
        <f aca="false">'Academy · Drivers'!D18</f>
        <v>0.75</v>
      </c>
      <c r="D28" s="108" t="s">
        <v>5796</v>
      </c>
      <c r="E28" s="1256" t="s">
        <v>4796</v>
      </c>
      <c r="F28" s="1259" t="s">
        <v>4803</v>
      </c>
      <c r="G28" s="1258" t="s">
        <v>5797</v>
      </c>
    </row>
    <row r="29" customFormat="false" ht="27.75" hidden="false" customHeight="true" outlineLevel="0" collapsed="false">
      <c r="B29" s="113" t="s">
        <v>5798</v>
      </c>
      <c r="C29" s="547" t="n">
        <f aca="false">'Academy · Drivers'!D17</f>
        <v>120</v>
      </c>
      <c r="D29" s="108" t="s">
        <v>5799</v>
      </c>
      <c r="E29" s="1260" t="s">
        <v>4807</v>
      </c>
      <c r="F29" s="1259" t="s">
        <v>4803</v>
      </c>
      <c r="G29" s="1258" t="s">
        <v>5800</v>
      </c>
    </row>
    <row r="30" customFormat="false" ht="21.75" hidden="false" customHeight="true" outlineLevel="0" collapsed="false">
      <c r="B30" s="575" t="s">
        <v>5801</v>
      </c>
      <c r="C30" s="575"/>
      <c r="D30" s="575"/>
      <c r="E30" s="575"/>
      <c r="F30" s="575"/>
      <c r="G30" s="575"/>
      <c r="H30" s="575"/>
      <c r="I30" s="575"/>
    </row>
    <row r="31" customFormat="false" ht="27.75" hidden="false" customHeight="true" outlineLevel="0" collapsed="false">
      <c r="B31" s="113" t="s">
        <v>5802</v>
      </c>
      <c r="C31" s="541" t="n">
        <f aca="false">'Academy · Drivers'!D19</f>
        <v>100</v>
      </c>
      <c r="D31" s="108" t="s">
        <v>5803</v>
      </c>
      <c r="E31" s="1261" t="s">
        <v>4821</v>
      </c>
      <c r="F31" s="1364" t="s">
        <v>2765</v>
      </c>
      <c r="G31" s="1258" t="s">
        <v>5804</v>
      </c>
    </row>
    <row r="32" customFormat="false" ht="27.75" hidden="false" customHeight="true" outlineLevel="0" collapsed="false">
      <c r="B32" s="113" t="s">
        <v>5805</v>
      </c>
      <c r="C32" s="547" t="n">
        <f aca="false">'Academy · Drivers'!D20</f>
        <v>15</v>
      </c>
      <c r="D32" s="108" t="s">
        <v>5418</v>
      </c>
      <c r="E32" s="1256" t="s">
        <v>4796</v>
      </c>
      <c r="F32" s="1364" t="s">
        <v>2765</v>
      </c>
      <c r="G32" s="1258" t="s">
        <v>5806</v>
      </c>
    </row>
    <row r="33" customFormat="false" ht="21.75" hidden="false" customHeight="true" outlineLevel="0" collapsed="false">
      <c r="B33" s="575" t="s">
        <v>5807</v>
      </c>
      <c r="C33" s="575"/>
      <c r="D33" s="575"/>
      <c r="E33" s="575"/>
      <c r="F33" s="575"/>
      <c r="G33" s="575"/>
      <c r="H33" s="575"/>
      <c r="I33" s="575"/>
    </row>
    <row r="34" customFormat="false" ht="27.75" hidden="false" customHeight="true" outlineLevel="0" collapsed="false">
      <c r="B34" s="113" t="s">
        <v>5524</v>
      </c>
      <c r="C34" s="1365" t="n">
        <f aca="false">'Academy · Drivers'!D93</f>
        <v>2</v>
      </c>
      <c r="D34" s="108" t="s">
        <v>5808</v>
      </c>
      <c r="E34" s="1256" t="s">
        <v>4796</v>
      </c>
      <c r="F34" s="1259" t="s">
        <v>4803</v>
      </c>
      <c r="G34" s="1258" t="s">
        <v>5809</v>
      </c>
    </row>
    <row r="35" customFormat="false" ht="27.75" hidden="false" customHeight="true" outlineLevel="0" collapsed="false">
      <c r="B35" s="113" t="s">
        <v>5526</v>
      </c>
      <c r="C35" s="1365" t="n">
        <f aca="false">'Academy · Drivers'!D94</f>
        <v>6</v>
      </c>
      <c r="D35" s="108" t="s">
        <v>5810</v>
      </c>
      <c r="E35" s="1256" t="s">
        <v>4796</v>
      </c>
      <c r="F35" s="1259" t="s">
        <v>4803</v>
      </c>
      <c r="G35" s="1258" t="s">
        <v>5811</v>
      </c>
    </row>
    <row r="36" customFormat="false" ht="27.75" hidden="false" customHeight="true" outlineLevel="0" collapsed="false">
      <c r="B36" s="113" t="s">
        <v>5812</v>
      </c>
      <c r="C36" s="1365" t="n">
        <f aca="false">'Academy · Drivers'!D95</f>
        <v>1000</v>
      </c>
      <c r="D36" s="108" t="s">
        <v>5813</v>
      </c>
      <c r="E36" s="1261" t="s">
        <v>4821</v>
      </c>
      <c r="F36" s="1259" t="s">
        <v>4803</v>
      </c>
      <c r="G36" s="1258" t="s">
        <v>5814</v>
      </c>
    </row>
    <row r="37" customFormat="false" ht="27.75" hidden="false" customHeight="true" outlineLevel="0" collapsed="false">
      <c r="B37" s="113" t="s">
        <v>5531</v>
      </c>
      <c r="C37" s="1218" t="n">
        <f aca="false">'Academy · Drivers'!D96</f>
        <v>0.3</v>
      </c>
      <c r="D37" s="108" t="s">
        <v>5815</v>
      </c>
      <c r="E37" s="1256" t="s">
        <v>4796</v>
      </c>
      <c r="F37" s="1216" t="s">
        <v>5816</v>
      </c>
      <c r="G37" s="1258" t="s">
        <v>5817</v>
      </c>
    </row>
    <row r="38" customFormat="false" ht="27.75" hidden="false" customHeight="true" outlineLevel="0" collapsed="false">
      <c r="B38" s="113" t="s">
        <v>5818</v>
      </c>
      <c r="C38" s="1365" t="n">
        <f aca="false">'Academy · Drivers'!D97</f>
        <v>30000</v>
      </c>
      <c r="D38" s="108" t="s">
        <v>3958</v>
      </c>
      <c r="E38" s="1261" t="s">
        <v>4821</v>
      </c>
      <c r="F38" s="1216" t="s">
        <v>1600</v>
      </c>
      <c r="G38" s="1258" t="s">
        <v>5819</v>
      </c>
    </row>
    <row r="39" customFormat="false" ht="27.75" hidden="false" customHeight="true" outlineLevel="0" collapsed="false">
      <c r="B39" s="113" t="s">
        <v>5537</v>
      </c>
      <c r="C39" s="1365" t="n">
        <f aca="false">'Academy · Drivers'!D98</f>
        <v>0.05</v>
      </c>
      <c r="D39" s="108" t="s">
        <v>5820</v>
      </c>
      <c r="E39" s="1256" t="s">
        <v>4796</v>
      </c>
      <c r="F39" s="1259" t="s">
        <v>4803</v>
      </c>
      <c r="G39" s="1258" t="s">
        <v>5821</v>
      </c>
    </row>
    <row r="40" customFormat="false" ht="27.75" hidden="false" customHeight="true" outlineLevel="0" collapsed="false">
      <c r="B40" s="113" t="s">
        <v>5539</v>
      </c>
      <c r="C40" s="1218" t="n">
        <f aca="false">'Academy · Drivers'!D99</f>
        <v>0.25</v>
      </c>
      <c r="D40" s="108" t="s">
        <v>5822</v>
      </c>
      <c r="E40" s="1261" t="s">
        <v>4821</v>
      </c>
      <c r="F40" s="1259" t="s">
        <v>4803</v>
      </c>
      <c r="G40" s="1258" t="s">
        <v>5823</v>
      </c>
    </row>
    <row r="41" customFormat="false" ht="21.75" hidden="false" customHeight="true" outlineLevel="0" collapsed="false">
      <c r="B41" s="575" t="s">
        <v>5824</v>
      </c>
      <c r="C41" s="575"/>
      <c r="D41" s="575"/>
      <c r="E41" s="575"/>
      <c r="F41" s="575"/>
      <c r="G41" s="575"/>
      <c r="H41" s="575"/>
      <c r="I41" s="575"/>
    </row>
    <row r="42" customFormat="false" ht="27.75" hidden="false" customHeight="true" outlineLevel="0" collapsed="false">
      <c r="B42" s="113" t="s">
        <v>5825</v>
      </c>
      <c r="C42" s="547" t="n">
        <f aca="false">'Academy · Drivers'!C66</f>
        <v>100000</v>
      </c>
      <c r="D42" s="108" t="s">
        <v>5826</v>
      </c>
      <c r="E42" s="1260" t="s">
        <v>4807</v>
      </c>
      <c r="F42" s="1364" t="s">
        <v>2765</v>
      </c>
      <c r="G42" s="1258" t="s">
        <v>5827</v>
      </c>
    </row>
    <row r="43" customFormat="false" ht="27.75" hidden="false" customHeight="true" outlineLevel="0" collapsed="false">
      <c r="B43" s="113" t="s">
        <v>5828</v>
      </c>
      <c r="C43" s="547" t="n">
        <f aca="false">'Academy · Drivers'!C67</f>
        <v>86400</v>
      </c>
      <c r="D43" s="108" t="s">
        <v>5829</v>
      </c>
      <c r="E43" s="1260" t="s">
        <v>4807</v>
      </c>
      <c r="F43" s="1259" t="s">
        <v>4803</v>
      </c>
      <c r="G43" s="1258" t="s">
        <v>5830</v>
      </c>
    </row>
    <row r="44" customFormat="false" ht="27.75" hidden="false" customHeight="true" outlineLevel="0" collapsed="false">
      <c r="B44" s="113" t="s">
        <v>5831</v>
      </c>
      <c r="C44" s="1218" t="n">
        <f aca="false">'Academy · Drivers'!C78</f>
        <v>20</v>
      </c>
      <c r="D44" s="108" t="s">
        <v>5832</v>
      </c>
      <c r="E44" s="1256" t="s">
        <v>4796</v>
      </c>
      <c r="F44" s="1216" t="s">
        <v>1600</v>
      </c>
      <c r="G44" s="1258" t="s">
        <v>5833</v>
      </c>
    </row>
    <row r="45" customFormat="false" ht="27.75" hidden="false" customHeight="true" outlineLevel="0" collapsed="false">
      <c r="B45" s="113" t="s">
        <v>4860</v>
      </c>
      <c r="C45" s="547" t="n">
        <f aca="false">'Academy · Drivers'!C69</f>
        <v>0</v>
      </c>
      <c r="D45" s="108" t="s">
        <v>5834</v>
      </c>
      <c r="E45" s="1256" t="s">
        <v>4796</v>
      </c>
      <c r="F45" s="1259" t="s">
        <v>4803</v>
      </c>
      <c r="G45" s="1258" t="s">
        <v>5835</v>
      </c>
    </row>
    <row r="46" customFormat="false" ht="27.75" hidden="false" customHeight="true" outlineLevel="0" collapsed="false">
      <c r="B46" s="113" t="s">
        <v>5836</v>
      </c>
      <c r="C46" s="1218" t="n">
        <f aca="false">'Academy · Drivers'!C72</f>
        <v>24000</v>
      </c>
      <c r="D46" s="108" t="s">
        <v>5498</v>
      </c>
      <c r="E46" s="1256" t="s">
        <v>4796</v>
      </c>
      <c r="F46" s="1364" t="s">
        <v>2765</v>
      </c>
      <c r="G46" s="1258" t="s">
        <v>5837</v>
      </c>
    </row>
    <row r="47" customFormat="false" ht="27.75" hidden="false" customHeight="true" outlineLevel="0" collapsed="false">
      <c r="B47" s="113" t="s">
        <v>5838</v>
      </c>
      <c r="C47" s="1218" t="n">
        <f aca="false">'Academy · Drivers'!C76</f>
        <v>4</v>
      </c>
      <c r="D47" s="108" t="s">
        <v>5839</v>
      </c>
      <c r="E47" s="1256" t="s">
        <v>4796</v>
      </c>
      <c r="F47" s="1364" t="s">
        <v>2765</v>
      </c>
      <c r="G47" s="1258" t="s">
        <v>5840</v>
      </c>
    </row>
    <row r="48" customFormat="false" ht="27.75" hidden="false" customHeight="true" outlineLevel="0" collapsed="false">
      <c r="B48" s="113" t="s">
        <v>5841</v>
      </c>
      <c r="C48" s="1218" t="n">
        <f aca="false">'Academy · Drivers'!C77</f>
        <v>6</v>
      </c>
      <c r="D48" s="108" t="s">
        <v>5842</v>
      </c>
      <c r="E48" s="1256" t="s">
        <v>4796</v>
      </c>
      <c r="F48" s="1259" t="s">
        <v>4803</v>
      </c>
      <c r="G48" s="1258" t="s">
        <v>5843</v>
      </c>
    </row>
    <row r="49" customFormat="false" ht="21.75" hidden="false" customHeight="true" outlineLevel="0" collapsed="false">
      <c r="B49" s="575" t="s">
        <v>5844</v>
      </c>
      <c r="C49" s="575"/>
      <c r="D49" s="575"/>
      <c r="E49" s="575"/>
      <c r="F49" s="575"/>
      <c r="G49" s="575"/>
      <c r="H49" s="575"/>
      <c r="I49" s="575"/>
    </row>
    <row r="50" customFormat="false" ht="27.75" hidden="false" customHeight="true" outlineLevel="0" collapsed="false">
      <c r="B50" s="113" t="s">
        <v>5845</v>
      </c>
      <c r="C50" s="541" t="n">
        <v>30</v>
      </c>
      <c r="D50" s="108" t="s">
        <v>5846</v>
      </c>
      <c r="E50" s="1260" t="s">
        <v>4807</v>
      </c>
      <c r="F50" s="1364" t="s">
        <v>2765</v>
      </c>
      <c r="G50" s="1258" t="s">
        <v>5847</v>
      </c>
    </row>
    <row r="51" customFormat="false" ht="27.75" hidden="false" customHeight="true" outlineLevel="0" collapsed="false">
      <c r="B51" s="113" t="s">
        <v>5848</v>
      </c>
      <c r="C51" s="541" t="n">
        <v>15</v>
      </c>
      <c r="D51" s="108" t="s">
        <v>5849</v>
      </c>
      <c r="E51" s="1260" t="s">
        <v>4807</v>
      </c>
      <c r="F51" s="1364" t="s">
        <v>2765</v>
      </c>
      <c r="G51" s="1258" t="s">
        <v>3950</v>
      </c>
    </row>
    <row r="52" customFormat="false" ht="27.75" hidden="false" customHeight="true" outlineLevel="0" collapsed="false">
      <c r="B52" s="113" t="s">
        <v>5850</v>
      </c>
      <c r="C52" s="1218" t="n">
        <v>0.005</v>
      </c>
      <c r="D52" s="108" t="s">
        <v>5851</v>
      </c>
      <c r="E52" s="1260" t="s">
        <v>4807</v>
      </c>
      <c r="F52" s="1364" t="s">
        <v>2765</v>
      </c>
      <c r="G52" s="1258" t="s">
        <v>5852</v>
      </c>
    </row>
    <row r="53" customFormat="false" ht="27.75" hidden="false" customHeight="true" outlineLevel="0" collapsed="false">
      <c r="B53" s="113" t="s">
        <v>5853</v>
      </c>
      <c r="C53" s="1218" t="n">
        <v>0.02</v>
      </c>
      <c r="D53" s="108" t="s">
        <v>5854</v>
      </c>
      <c r="E53" s="1260" t="s">
        <v>4807</v>
      </c>
      <c r="F53" s="1364" t="s">
        <v>2765</v>
      </c>
      <c r="G53" s="1258" t="s">
        <v>5855</v>
      </c>
    </row>
    <row r="54" customFormat="false" ht="27.75" hidden="false" customHeight="true" outlineLevel="0" collapsed="false">
      <c r="B54" s="113" t="s">
        <v>5856</v>
      </c>
      <c r="C54" s="1218" t="n">
        <v>0.03</v>
      </c>
      <c r="D54" s="108" t="s">
        <v>5857</v>
      </c>
      <c r="E54" s="1256" t="s">
        <v>4796</v>
      </c>
      <c r="F54" s="1259" t="s">
        <v>4803</v>
      </c>
      <c r="G54" s="1258" t="s">
        <v>5858</v>
      </c>
    </row>
    <row r="55" customFormat="false" ht="27.75" hidden="false" customHeight="true" outlineLevel="0" collapsed="false">
      <c r="B55" s="113" t="s">
        <v>5859</v>
      </c>
      <c r="C55" s="1218" t="n">
        <v>0.8</v>
      </c>
      <c r="D55" s="108" t="s">
        <v>3935</v>
      </c>
      <c r="E55" s="1256" t="s">
        <v>4796</v>
      </c>
      <c r="F55" s="1216" t="s">
        <v>1600</v>
      </c>
      <c r="G55" s="1258" t="s">
        <v>5860</v>
      </c>
    </row>
    <row r="56" customFormat="false" ht="15" hidden="false" customHeight="true" outlineLevel="0" collapsed="false">
      <c r="B56" s="6"/>
      <c r="D56" s="6"/>
    </row>
    <row r="57" customFormat="false" ht="21.75" hidden="false" customHeight="true" outlineLevel="0" collapsed="false">
      <c r="B57" s="43" t="s">
        <v>4897</v>
      </c>
      <c r="C57" s="43"/>
      <c r="D57" s="43"/>
      <c r="E57" s="43"/>
      <c r="F57" s="43"/>
      <c r="G57" s="43"/>
      <c r="H57" s="43"/>
      <c r="I57" s="43"/>
    </row>
    <row r="58" customFormat="false" ht="120" hidden="false" customHeight="true" outlineLevel="0" collapsed="false">
      <c r="B58" s="134" t="s">
        <v>5861</v>
      </c>
      <c r="C58" s="134"/>
      <c r="D58" s="134"/>
      <c r="E58" s="134"/>
      <c r="F58" s="134"/>
      <c r="G58" s="134"/>
      <c r="H58" s="134"/>
      <c r="I58" s="134"/>
    </row>
    <row r="60" customFormat="false" ht="15" hidden="false" customHeight="true" outlineLevel="0" collapsed="false">
      <c r="B60" s="0" t="s">
        <v>5862</v>
      </c>
      <c r="C60" s="0" t="n">
        <v>0.3</v>
      </c>
    </row>
    <row r="61" customFormat="false" ht="15" hidden="false" customHeight="true" outlineLevel="0" collapsed="false">
      <c r="B61" s="0" t="s">
        <v>5863</v>
      </c>
      <c r="C61" s="0" t="n">
        <v>0.5</v>
      </c>
    </row>
    <row r="63" customFormat="false" ht="15" hidden="false" customHeight="true" outlineLevel="0" collapsed="false">
      <c r="B63" s="0" t="s">
        <v>4901</v>
      </c>
      <c r="C63" s="0" t="n">
        <v>0.7</v>
      </c>
    </row>
    <row r="64" customFormat="false" ht="15" hidden="false" customHeight="true" outlineLevel="0" collapsed="false">
      <c r="B64" s="0" t="s">
        <v>4902</v>
      </c>
      <c r="C64" s="0" t="n">
        <v>0.3</v>
      </c>
    </row>
  </sheetData>
  <mergeCells count="14">
    <mergeCell ref="B2:F2"/>
    <mergeCell ref="G2:I2"/>
    <mergeCell ref="B3:I3"/>
    <mergeCell ref="B5:I5"/>
    <mergeCell ref="B8:I8"/>
    <mergeCell ref="B16:I16"/>
    <mergeCell ref="B23:I23"/>
    <mergeCell ref="B26:I26"/>
    <mergeCell ref="B30:I30"/>
    <mergeCell ref="B33:I33"/>
    <mergeCell ref="B41:I41"/>
    <mergeCell ref="B49:I49"/>
    <mergeCell ref="B57:I57"/>
    <mergeCell ref="B58:I5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45" activePane="bottomRight" state="frozen"/>
      <selection pane="topLeft" activeCell="A1" activeCellId="0" sqref="A1"/>
      <selection pane="topRight" activeCell="B1" activeCellId="0" sqref="B1"/>
      <selection pane="bottomLeft" activeCell="A45" activeCellId="0" sqref="A45"/>
      <selection pane="bottomRight" activeCell="B61" activeCellId="0" sqref="B6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101.51"/>
    <col collapsed="false" customWidth="true" hidden="false" outlineLevel="0" max="4" min="3" style="0" width="13"/>
    <col collapsed="false" customWidth="true" hidden="false" outlineLevel="0" max="5" min="5" style="0" width="60"/>
    <col collapsed="false" customWidth="true" hidden="false" outlineLevel="0" max="6" min="6" style="0" width="13"/>
    <col collapsed="false" customWidth="true" hidden="false" outlineLevel="0" max="8" min="7" style="0" width="11"/>
  </cols>
  <sheetData>
    <row r="1" customFormat="false" ht="15" hidden="false" customHeight="true" outlineLevel="0" collapsed="false">
      <c r="B1" s="6"/>
      <c r="E1" s="6"/>
    </row>
    <row r="2" customFormat="false" ht="36" hidden="false" customHeight="true" outlineLevel="0" collapsed="false">
      <c r="B2" s="178" t="s">
        <v>870</v>
      </c>
      <c r="E2" s="6"/>
    </row>
    <row r="3" customFormat="false" ht="36" hidden="false" customHeight="true" outlineLevel="0" collapsed="false">
      <c r="B3" s="165" t="s">
        <v>871</v>
      </c>
      <c r="E3" s="6"/>
    </row>
    <row r="4" customFormat="false" ht="15" hidden="false" customHeight="true" outlineLevel="0" collapsed="false">
      <c r="B4" s="6"/>
      <c r="E4" s="6"/>
    </row>
    <row r="5" customFormat="false" ht="24" hidden="false" customHeight="true" outlineLevel="0" collapsed="false">
      <c r="B5" s="179" t="s">
        <v>872</v>
      </c>
      <c r="E5" s="6"/>
    </row>
    <row r="6" customFormat="false" ht="15" hidden="false" customHeight="true" outlineLevel="0" collapsed="false">
      <c r="B6" s="6"/>
      <c r="E6" s="6"/>
    </row>
    <row r="7" customFormat="false" ht="15" hidden="false" customHeight="true" outlineLevel="0" collapsed="false">
      <c r="B7" s="180" t="s">
        <v>666</v>
      </c>
      <c r="C7" s="181" t="s">
        <v>873</v>
      </c>
      <c r="D7" s="181" t="s">
        <v>874</v>
      </c>
      <c r="E7" s="180" t="s">
        <v>875</v>
      </c>
      <c r="F7" s="181" t="s">
        <v>778</v>
      </c>
    </row>
    <row r="8" customFormat="false" ht="15" hidden="false" customHeight="true" outlineLevel="0" collapsed="false">
      <c r="B8" s="180" t="s">
        <v>876</v>
      </c>
      <c r="C8" s="240" t="n">
        <f aca="false">'Master Revenue'!I17</f>
        <v>6672022.15</v>
      </c>
      <c r="D8" s="177" t="n">
        <v>1</v>
      </c>
      <c r="E8" s="241" t="n">
        <f aca="false">C8</f>
        <v>6672022.15</v>
      </c>
      <c r="F8" s="0" t="s">
        <v>877</v>
      </c>
    </row>
    <row r="9" customFormat="false" ht="18" hidden="false" customHeight="true" outlineLevel="0" collapsed="false">
      <c r="B9" s="6" t="s">
        <v>878</v>
      </c>
      <c r="C9" s="242" t="n">
        <f aca="false">-'Master Cost'!C17</f>
        <v>-2649299.228975</v>
      </c>
      <c r="D9" s="177" t="n">
        <f aca="false">C9/$C$8</f>
        <v>-0.397075904338087</v>
      </c>
      <c r="E9" s="241" t="n">
        <f aca="false">E8+C9</f>
        <v>4022722.921025</v>
      </c>
      <c r="F9" s="0" t="s">
        <v>879</v>
      </c>
    </row>
    <row r="10" customFormat="false" ht="24" hidden="false" customHeight="true" outlineLevel="0" collapsed="false">
      <c r="B10" s="180" t="s">
        <v>880</v>
      </c>
      <c r="C10" s="243" t="n">
        <f aca="false">E9</f>
        <v>4022722.921025</v>
      </c>
      <c r="D10" s="177" t="n">
        <f aca="false">C10/$C$8</f>
        <v>0.602924095661913</v>
      </c>
      <c r="E10" s="241" t="n">
        <f aca="false">C10</f>
        <v>4022722.921025</v>
      </c>
      <c r="F10" s="0" t="s">
        <v>881</v>
      </c>
    </row>
    <row r="11" customFormat="false" ht="15" hidden="false" customHeight="true" outlineLevel="0" collapsed="false">
      <c r="B11" s="6"/>
      <c r="E11" s="6"/>
    </row>
    <row r="12" customFormat="false" ht="15" hidden="false" customHeight="true" outlineLevel="0" collapsed="false">
      <c r="B12" s="180" t="s">
        <v>882</v>
      </c>
      <c r="E12" s="6"/>
    </row>
    <row r="13" customFormat="false" ht="36" hidden="false" customHeight="true" outlineLevel="0" collapsed="false">
      <c r="B13" s="6" t="s">
        <v>883</v>
      </c>
      <c r="C13" s="242" t="n">
        <f aca="false">-'Group OpEx'!C13</f>
        <v>-451250</v>
      </c>
      <c r="D13" s="177" t="n">
        <f aca="false">C13/$C$8</f>
        <v>-0.0676331687537938</v>
      </c>
      <c r="E13" s="241" t="n">
        <f aca="false">E10+C13</f>
        <v>3571472.921025</v>
      </c>
      <c r="F13" s="0" t="s">
        <v>884</v>
      </c>
    </row>
    <row r="14" customFormat="false" ht="36" hidden="false" customHeight="true" outlineLevel="0" collapsed="false">
      <c r="B14" s="6" t="s">
        <v>885</v>
      </c>
      <c r="C14" s="242" t="n">
        <f aca="false">-'Group OpEx'!C21</f>
        <v>-880340</v>
      </c>
      <c r="D14" s="177" t="n">
        <f aca="false">C14/$C$8</f>
        <v>-0.131945005608232</v>
      </c>
      <c r="E14" s="241" t="n">
        <f aca="false">E13+C14</f>
        <v>2691132.921025</v>
      </c>
      <c r="F14" s="0" t="s">
        <v>886</v>
      </c>
    </row>
    <row r="15" customFormat="false" ht="36" hidden="false" customHeight="true" outlineLevel="0" collapsed="false">
      <c r="B15" s="6" t="s">
        <v>887</v>
      </c>
      <c r="C15" s="242" t="n">
        <f aca="false">-'Group OpEx'!C28</f>
        <v>-429960.6645</v>
      </c>
      <c r="D15" s="177" t="n">
        <f aca="false">C15/$C$8</f>
        <v>-0.0644423316999929</v>
      </c>
      <c r="E15" s="241" t="n">
        <f aca="false">E14+C15</f>
        <v>2261172.256525</v>
      </c>
      <c r="F15" s="0" t="s">
        <v>888</v>
      </c>
    </row>
    <row r="16" customFormat="false" ht="15" hidden="false" customHeight="true" outlineLevel="0" collapsed="false">
      <c r="B16" s="6"/>
      <c r="E16" s="6"/>
    </row>
    <row r="17" customFormat="false" ht="15" hidden="false" customHeight="true" outlineLevel="0" collapsed="false">
      <c r="B17" s="244" t="s">
        <v>889</v>
      </c>
      <c r="C17" s="245" t="n">
        <f aca="false">E15</f>
        <v>2261172.256525</v>
      </c>
      <c r="D17" s="246" t="n">
        <f aca="false">C17/C8</f>
        <v>0.338903589599894</v>
      </c>
      <c r="E17" s="241" t="n">
        <f aca="false">C17</f>
        <v>2261172.256525</v>
      </c>
      <c r="F17" s="0" t="s">
        <v>890</v>
      </c>
    </row>
    <row r="18" customFormat="false" ht="15" hidden="false" customHeight="true" outlineLevel="0" collapsed="false">
      <c r="B18" s="6"/>
      <c r="E18" s="6"/>
    </row>
    <row r="19" customFormat="false" ht="18" hidden="false" customHeight="true" outlineLevel="0" collapsed="false">
      <c r="B19" s="179" t="s">
        <v>891</v>
      </c>
      <c r="E19" s="6"/>
    </row>
    <row r="20" customFormat="false" ht="15" hidden="false" customHeight="true" outlineLevel="0" collapsed="false">
      <c r="B20" s="6"/>
      <c r="E20" s="6"/>
    </row>
    <row r="21" customFormat="false" ht="15" hidden="false" customHeight="true" outlineLevel="0" collapsed="false">
      <c r="B21" s="180" t="s">
        <v>892</v>
      </c>
      <c r="C21" s="181" t="s">
        <v>138</v>
      </c>
      <c r="D21" s="181" t="s">
        <v>893</v>
      </c>
      <c r="E21" s="180" t="s">
        <v>894</v>
      </c>
    </row>
    <row r="22" customFormat="false" ht="36" hidden="false" customHeight="true" outlineLevel="0" collapsed="false">
      <c r="B22" s="6" t="s">
        <v>895</v>
      </c>
      <c r="C22" s="142" t="n">
        <f aca="false">C17</f>
        <v>2261172.256525</v>
      </c>
      <c r="D22" s="177" t="n">
        <f aca="false">D17</f>
        <v>0.338903589599894</v>
      </c>
      <c r="E22" s="6" t="s">
        <v>896</v>
      </c>
    </row>
    <row r="23" customFormat="false" ht="36" hidden="false" customHeight="true" outlineLevel="0" collapsed="false">
      <c r="B23" s="6" t="s">
        <v>897</v>
      </c>
      <c r="C23" s="247" t="n">
        <f aca="false">'Consolidated 8Yr P&amp;L'!F35</f>
        <v>2106139.43959299</v>
      </c>
      <c r="D23" s="248" t="n">
        <f aca="false">'Consolidated 8Yr P&amp;L'!F35/'Consolidated 8Yr P&amp;L'!F16</f>
        <v>0.315667333267619</v>
      </c>
      <c r="E23" s="6" t="s">
        <v>898</v>
      </c>
    </row>
    <row r="24" customFormat="false" ht="36" hidden="false" customHeight="true" outlineLevel="0" collapsed="false">
      <c r="B24" s="180" t="s">
        <v>899</v>
      </c>
      <c r="C24" s="249" t="n">
        <f aca="false">C22-C23</f>
        <v>155032.816932013</v>
      </c>
      <c r="D24" s="177" t="n">
        <f aca="false">D22-D23</f>
        <v>0.0232362563322744</v>
      </c>
      <c r="E24" s="6" t="s">
        <v>900</v>
      </c>
    </row>
    <row r="25" customFormat="false" ht="51" hidden="false" customHeight="true" outlineLevel="0" collapsed="false">
      <c r="B25" s="165" t="s">
        <v>901</v>
      </c>
      <c r="E25" s="6"/>
    </row>
    <row r="26" customFormat="false" ht="24" hidden="false" customHeight="true" outlineLevel="0" collapsed="false">
      <c r="B26" s="179" t="s">
        <v>902</v>
      </c>
      <c r="E26" s="250"/>
    </row>
    <row r="27" customFormat="false" ht="15" hidden="false" customHeight="true" outlineLevel="0" collapsed="false">
      <c r="B27" s="6"/>
      <c r="E27" s="250"/>
    </row>
    <row r="28" customFormat="false" ht="15" hidden="false" customHeight="true" outlineLevel="0" collapsed="false">
      <c r="B28" s="251" t="s">
        <v>750</v>
      </c>
      <c r="C28" s="181" t="s">
        <v>903</v>
      </c>
      <c r="D28" s="181" t="s">
        <v>904</v>
      </c>
      <c r="E28" s="252" t="s">
        <v>905</v>
      </c>
      <c r="F28" s="181" t="s">
        <v>906</v>
      </c>
      <c r="G28" s="181" t="s">
        <v>907</v>
      </c>
      <c r="H28" s="181" t="s">
        <v>210</v>
      </c>
    </row>
    <row r="29" customFormat="false" ht="15" hidden="false" customHeight="true" outlineLevel="0" collapsed="false">
      <c r="B29" s="253" t="s">
        <v>760</v>
      </c>
      <c r="C29" s="242" t="n">
        <f aca="false">'Consolidated 8Yr P&amp;L'!C16</f>
        <v>5337617.72</v>
      </c>
      <c r="D29" s="242" t="n">
        <f aca="false">'Consolidated 8Yr P&amp;L'!C28</f>
        <v>-2419793.24814675</v>
      </c>
      <c r="E29" s="254" t="n">
        <f aca="false">'Consolidated 8Yr P&amp;L'!C30</f>
        <v>2917824.47185325</v>
      </c>
      <c r="F29" s="242" t="n">
        <f aca="false">'Consolidated 8Yr P&amp;L'!C33</f>
        <v>-1409240.5316</v>
      </c>
      <c r="G29" s="242" t="n">
        <f aca="false">'Consolidated 8Yr P&amp;L'!C35</f>
        <v>1508583.94025325</v>
      </c>
      <c r="H29" s="177" t="n">
        <f aca="false">G29/C29</f>
        <v>0.282632443796153</v>
      </c>
    </row>
    <row r="30" customFormat="false" ht="15" hidden="false" customHeight="true" outlineLevel="0" collapsed="false">
      <c r="B30" s="253" t="s">
        <v>908</v>
      </c>
      <c r="C30" s="242" t="n">
        <f aca="false">'Consolidated 8Yr P&amp;L'!D16</f>
        <v>6004819.935</v>
      </c>
      <c r="D30" s="242" t="n">
        <f aca="false">'Consolidated 8Yr P&amp;L'!D28</f>
        <v>-2583177.2552345</v>
      </c>
      <c r="E30" s="254" t="n">
        <f aca="false">'Consolidated 8Yr P&amp;L'!D30</f>
        <v>3421642.6797655</v>
      </c>
      <c r="F30" s="242" t="n">
        <f aca="false">'Consolidated 8Yr P&amp;L'!D33</f>
        <v>-1585395.59805</v>
      </c>
      <c r="G30" s="242" t="n">
        <f aca="false">'Consolidated 8Yr P&amp;L'!D35</f>
        <v>1836247.0817155</v>
      </c>
      <c r="H30" s="177" t="n">
        <f aca="false">G30/C30</f>
        <v>0.305795527857989</v>
      </c>
    </row>
    <row r="31" customFormat="false" ht="15" hidden="false" customHeight="true" outlineLevel="0" collapsed="false">
      <c r="B31" s="253" t="s">
        <v>765</v>
      </c>
      <c r="C31" s="242" t="n">
        <f aca="false">'Consolidated 8Yr P&amp;L'!E16</f>
        <v>6672022.15</v>
      </c>
      <c r="D31" s="242" t="n">
        <f aca="false">'Consolidated 8Yr P&amp;L'!E28</f>
        <v>-2751119.61086118</v>
      </c>
      <c r="E31" s="254" t="n">
        <f aca="false">'Consolidated 8Yr P&amp;L'!E30</f>
        <v>3920902.53913882</v>
      </c>
      <c r="F31" s="242" t="n">
        <f aca="false">'Consolidated 8Yr P&amp;L'!E33</f>
        <v>-1761550.6645</v>
      </c>
      <c r="G31" s="242" t="n">
        <f aca="false">'Consolidated 8Yr P&amp;L'!E35</f>
        <v>2159351.87463882</v>
      </c>
      <c r="H31" s="177" t="n">
        <f aca="false">G31/C31</f>
        <v>0.323642791659321</v>
      </c>
    </row>
    <row r="32" customFormat="false" ht="15" hidden="false" customHeight="true" outlineLevel="0" collapsed="false">
      <c r="B32" s="253" t="s">
        <v>770</v>
      </c>
      <c r="C32" s="242" t="n">
        <f aca="false">'Consolidated 8Yr P&amp;L'!F16</f>
        <v>6672022.15</v>
      </c>
      <c r="D32" s="242" t="n">
        <f aca="false">'Consolidated 8Yr P&amp;L'!F28</f>
        <v>-2804332.04590701</v>
      </c>
      <c r="E32" s="254" t="n">
        <f aca="false">'Consolidated 8Yr P&amp;L'!F30</f>
        <v>3867690.10409299</v>
      </c>
      <c r="F32" s="242" t="n">
        <f aca="false">'Consolidated 8Yr P&amp;L'!F33</f>
        <v>-1761550.6645</v>
      </c>
      <c r="G32" s="242" t="n">
        <f aca="false">'Consolidated 8Yr P&amp;L'!F35</f>
        <v>2106139.43959299</v>
      </c>
      <c r="H32" s="177" t="n">
        <f aca="false">G32/C32</f>
        <v>0.315667333267619</v>
      </c>
    </row>
    <row r="33" customFormat="false" ht="15" hidden="false" customHeight="true" outlineLevel="0" collapsed="false">
      <c r="B33" s="253" t="s">
        <v>909</v>
      </c>
      <c r="C33" s="242" t="n">
        <f aca="false">'Consolidated 8Yr P&amp;L'!G16</f>
        <v>7005623.2575</v>
      </c>
      <c r="D33" s="242" t="n">
        <f aca="false">'Consolidated 8Yr P&amp;L'!G28</f>
        <v>-2901143.66387592</v>
      </c>
      <c r="E33" s="254" t="n">
        <f aca="false">'Consolidated 8Yr P&amp;L'!G30</f>
        <v>4104479.59362408</v>
      </c>
      <c r="F33" s="242" t="n">
        <f aca="false">'Consolidated 8Yr P&amp;L'!G33</f>
        <v>-1761550.6645</v>
      </c>
      <c r="G33" s="242" t="n">
        <f aca="false">'Consolidated 8Yr P&amp;L'!G35</f>
        <v>2342928.92912408</v>
      </c>
      <c r="H33" s="177" t="n">
        <f aca="false">G33/C33</f>
        <v>0.334435473191599</v>
      </c>
    </row>
    <row r="34" customFormat="false" ht="15" hidden="false" customHeight="true" outlineLevel="0" collapsed="false">
      <c r="B34" s="253" t="s">
        <v>910</v>
      </c>
      <c r="C34" s="242" t="n">
        <f aca="false">'Consolidated 8Yr P&amp;L'!H16</f>
        <v>7215791.955225</v>
      </c>
      <c r="D34" s="242" t="n">
        <f aca="false">'Consolidated 8Yr P&amp;L'!H28</f>
        <v>-3021962.45156915</v>
      </c>
      <c r="E34" s="254" t="n">
        <f aca="false">'Consolidated 8Yr P&amp;L'!H30</f>
        <v>4193829.50365585</v>
      </c>
      <c r="F34" s="242" t="n">
        <f aca="false">'Consolidated 8Yr P&amp;L'!H33</f>
        <v>-1814397.184435</v>
      </c>
      <c r="G34" s="242" t="n">
        <f aca="false">'Consolidated 8Yr P&amp;L'!H35</f>
        <v>2379432.31922085</v>
      </c>
      <c r="H34" s="177" t="n">
        <f aca="false">G34/C34</f>
        <v>0.329753453811524</v>
      </c>
    </row>
    <row r="35" customFormat="false" ht="15" hidden="false" customHeight="true" outlineLevel="0" collapsed="false">
      <c r="B35" s="253" t="s">
        <v>911</v>
      </c>
      <c r="C35" s="242" t="n">
        <f aca="false">'Consolidated 8Yr P&amp;L'!I16</f>
        <v>7432265.71388175</v>
      </c>
      <c r="D35" s="242" t="n">
        <f aca="false">'Consolidated 8Yr P&amp;L'!I28</f>
        <v>-3120813.62263036</v>
      </c>
      <c r="E35" s="254" t="n">
        <f aca="false">'Consolidated 8Yr P&amp;L'!I30</f>
        <v>4311452.09125139</v>
      </c>
      <c r="F35" s="242" t="n">
        <f aca="false">'Consolidated 8Yr P&amp;L'!I33</f>
        <v>-1868829.09996805</v>
      </c>
      <c r="G35" s="242" t="n">
        <f aca="false">'Consolidated 8Yr P&amp;L'!I35</f>
        <v>2442622.99128334</v>
      </c>
      <c r="H35" s="177" t="n">
        <f aca="false">G35/C35</f>
        <v>0.328651192693648</v>
      </c>
    </row>
    <row r="36" customFormat="false" ht="15" hidden="false" customHeight="true" outlineLevel="0" collapsed="false">
      <c r="B36" s="253" t="s">
        <v>912</v>
      </c>
      <c r="C36" s="242" t="n">
        <f aca="false">'Consolidated 8Yr P&amp;L'!J16</f>
        <v>7655233.6852982</v>
      </c>
      <c r="D36" s="242" t="n">
        <f aca="false">'Consolidated 8Yr P&amp;L'!J28</f>
        <v>-3219059.75973157</v>
      </c>
      <c r="E36" s="254" t="n">
        <f aca="false">'Consolidated 8Yr P&amp;L'!J30</f>
        <v>4436173.92556663</v>
      </c>
      <c r="F36" s="242" t="n">
        <f aca="false">'Consolidated 8Yr P&amp;L'!J33</f>
        <v>-1924893.97296709</v>
      </c>
      <c r="G36" s="242" t="n">
        <f aca="false">'Consolidated 8Yr P&amp;L'!J35</f>
        <v>2511279.95259954</v>
      </c>
      <c r="H36" s="177" t="n">
        <f aca="false">G36/C36</f>
        <v>0.328047458227491</v>
      </c>
    </row>
    <row r="37" customFormat="false" ht="15" hidden="false" customHeight="true" outlineLevel="0" collapsed="false">
      <c r="B37" s="6"/>
      <c r="E37" s="250"/>
    </row>
    <row r="38" customFormat="false" ht="18" hidden="false" customHeight="true" outlineLevel="0" collapsed="false">
      <c r="B38" s="179" t="s">
        <v>913</v>
      </c>
      <c r="E38" s="6"/>
    </row>
    <row r="39" customFormat="false" ht="15" hidden="false" customHeight="true" outlineLevel="0" collapsed="false">
      <c r="B39" s="6"/>
      <c r="E39" s="6"/>
    </row>
    <row r="40" customFormat="false" ht="18" hidden="false" customHeight="true" outlineLevel="0" collapsed="false">
      <c r="B40" s="6" t="s">
        <v>914</v>
      </c>
      <c r="E40" s="6"/>
    </row>
    <row r="41" customFormat="false" ht="24" hidden="false" customHeight="true" outlineLevel="0" collapsed="false">
      <c r="B41" s="6" t="s">
        <v>915</v>
      </c>
      <c r="C41" s="255" t="n">
        <f aca="false">-C9/C8</f>
        <v>0.397075904338087</v>
      </c>
      <c r="E41" s="6"/>
    </row>
    <row r="42" customFormat="false" ht="18" hidden="false" customHeight="true" outlineLevel="0" collapsed="false">
      <c r="B42" s="6" t="s">
        <v>916</v>
      </c>
      <c r="C42" s="255" t="n">
        <f aca="false">-C13/C8</f>
        <v>0.0676331687537938</v>
      </c>
      <c r="E42" s="6"/>
    </row>
    <row r="43" customFormat="false" ht="24" hidden="false" customHeight="true" outlineLevel="0" collapsed="false">
      <c r="B43" s="6" t="s">
        <v>917</v>
      </c>
      <c r="C43" s="255" t="n">
        <f aca="false">-C14/C8</f>
        <v>0.131945005608232</v>
      </c>
      <c r="E43" s="6"/>
    </row>
    <row r="44" customFormat="false" ht="18" hidden="false" customHeight="true" outlineLevel="0" collapsed="false">
      <c r="B44" s="6" t="s">
        <v>918</v>
      </c>
      <c r="C44" s="255" t="n">
        <f aca="false">-C15/C8</f>
        <v>0.0644423316999929</v>
      </c>
      <c r="E44" s="6"/>
    </row>
    <row r="45" customFormat="false" ht="18" hidden="false" customHeight="true" outlineLevel="0" collapsed="false">
      <c r="B45" s="180" t="s">
        <v>919</v>
      </c>
      <c r="C45" s="256" t="n">
        <f aca="false">C17/C8</f>
        <v>0.338903589599894</v>
      </c>
      <c r="E45" s="6"/>
    </row>
    <row r="46" customFormat="false" ht="15" hidden="false" customHeight="true" outlineLevel="0" collapsed="false">
      <c r="B46" s="6" t="s">
        <v>920</v>
      </c>
      <c r="C46" s="255" t="n">
        <f aca="false">C41+C42+C43+C44+C45</f>
        <v>1</v>
      </c>
      <c r="E46" s="6"/>
    </row>
    <row r="47" customFormat="false" ht="15" hidden="false" customHeight="true" outlineLevel="0" collapsed="false">
      <c r="B47" s="6"/>
      <c r="E47" s="6"/>
    </row>
    <row r="48" customFormat="false" ht="15" hidden="false" customHeight="true" outlineLevel="0" collapsed="false">
      <c r="B48" s="6"/>
      <c r="E48" s="6"/>
    </row>
    <row r="49" customFormat="false" ht="24" hidden="false" customHeight="true" outlineLevel="0" collapsed="false">
      <c r="B49" s="179" t="s">
        <v>921</v>
      </c>
      <c r="E49" s="6"/>
    </row>
    <row r="50" customFormat="false" ht="15" hidden="false" customHeight="true" outlineLevel="0" collapsed="false">
      <c r="B50" s="6"/>
      <c r="E50" s="6"/>
    </row>
    <row r="51" customFormat="false" ht="33.75" hidden="false" customHeight="true" outlineLevel="0" collapsed="false">
      <c r="B51" s="180" t="s">
        <v>922</v>
      </c>
      <c r="E51" s="6"/>
    </row>
    <row r="52" customFormat="false" ht="66" hidden="false" customHeight="true" outlineLevel="0" collapsed="false">
      <c r="B52" s="6" t="s">
        <v>923</v>
      </c>
      <c r="E52" s="6"/>
    </row>
    <row r="53" customFormat="false" ht="15" hidden="false" customHeight="true" outlineLevel="0" collapsed="false">
      <c r="B53" s="6"/>
      <c r="E53" s="6"/>
    </row>
    <row r="54" customFormat="false" ht="18" hidden="false" customHeight="true" outlineLevel="0" collapsed="false">
      <c r="B54" s="180" t="s">
        <v>924</v>
      </c>
      <c r="E54" s="6"/>
    </row>
    <row r="55" customFormat="false" ht="66" hidden="false" customHeight="true" outlineLevel="0" collapsed="false">
      <c r="B55" s="6" t="s">
        <v>925</v>
      </c>
      <c r="E55" s="6"/>
    </row>
    <row r="56" customFormat="false" ht="15" hidden="false" customHeight="true" outlineLevel="0" collapsed="false">
      <c r="B56" s="6"/>
      <c r="E56" s="6"/>
    </row>
    <row r="57" customFormat="false" ht="18" hidden="false" customHeight="true" outlineLevel="0" collapsed="false">
      <c r="B57" s="180" t="s">
        <v>926</v>
      </c>
      <c r="E57" s="6"/>
    </row>
    <row r="58" customFormat="false" ht="66" hidden="false" customHeight="true" outlineLevel="0" collapsed="false">
      <c r="B58" s="6" t="s">
        <v>927</v>
      </c>
      <c r="E58" s="6"/>
    </row>
    <row r="59" customFormat="false" ht="15" hidden="false" customHeight="true" outlineLevel="0" collapsed="false">
      <c r="B59" s="6"/>
      <c r="E59" s="6"/>
    </row>
    <row r="60" customFormat="false" ht="18" hidden="false" customHeight="true" outlineLevel="0" collapsed="false">
      <c r="B60" s="180" t="s">
        <v>928</v>
      </c>
      <c r="E60" s="6"/>
    </row>
    <row r="61" customFormat="false" ht="66" hidden="false" customHeight="true" outlineLevel="0" collapsed="false">
      <c r="B61" s="6" t="s">
        <v>929</v>
      </c>
      <c r="E6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J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11" min="8" style="0" width="9"/>
  </cols>
  <sheetData>
    <row r="1" customFormat="false" ht="3.75" hidden="false" customHeight="true" outlineLevel="0" collapsed="false">
      <c r="B1" s="1"/>
      <c r="C1" s="2"/>
      <c r="D1" s="2"/>
      <c r="E1" s="2"/>
      <c r="F1" s="2"/>
      <c r="G1" s="2"/>
      <c r="H1" s="2"/>
      <c r="I1" s="1"/>
      <c r="J1" s="2"/>
    </row>
    <row r="2" customFormat="false" ht="27.75" hidden="false" customHeight="true" outlineLevel="0" collapsed="false">
      <c r="B2" s="917" t="s">
        <v>5864</v>
      </c>
      <c r="C2" s="917"/>
      <c r="D2" s="917"/>
      <c r="E2" s="917"/>
      <c r="F2" s="917"/>
      <c r="G2" s="89" t="s">
        <v>3432</v>
      </c>
      <c r="H2" s="89"/>
      <c r="I2" s="89"/>
      <c r="J2" s="89"/>
    </row>
    <row r="3" customFormat="false" ht="48.75" hidden="false" customHeight="true" outlineLevel="0" collapsed="false">
      <c r="B3" s="90" t="s">
        <v>5865</v>
      </c>
      <c r="C3" s="90"/>
      <c r="D3" s="90"/>
      <c r="E3" s="90"/>
      <c r="F3" s="90"/>
      <c r="G3" s="90"/>
      <c r="H3" s="90"/>
      <c r="I3" s="90"/>
      <c r="J3" s="90"/>
    </row>
    <row r="4" customFormat="false" ht="15" hidden="false" customHeight="true" outlineLevel="0" collapsed="false">
      <c r="B4" s="6"/>
      <c r="I4" s="6"/>
    </row>
    <row r="5" customFormat="false" ht="21.75" hidden="false" customHeight="true" outlineLevel="0" collapsed="false">
      <c r="B5" s="96" t="s">
        <v>5866</v>
      </c>
      <c r="C5" s="96"/>
      <c r="D5" s="96"/>
      <c r="E5" s="96"/>
      <c r="F5" s="96"/>
      <c r="G5" s="96"/>
      <c r="H5" s="96"/>
      <c r="I5" s="6"/>
    </row>
    <row r="6" customFormat="false" ht="19.5" hidden="false" customHeight="true" outlineLevel="0" collapsed="false">
      <c r="B6" s="97" t="s">
        <v>3445</v>
      </c>
      <c r="C6" s="98" t="s">
        <v>1531</v>
      </c>
      <c r="D6" s="98" t="s">
        <v>5867</v>
      </c>
      <c r="E6" s="98" t="s">
        <v>4770</v>
      </c>
      <c r="G6" s="551" t="s">
        <v>3508</v>
      </c>
      <c r="I6" s="6"/>
    </row>
    <row r="7" customFormat="false" ht="18" hidden="false" customHeight="true" outlineLevel="0" collapsed="false">
      <c r="B7" s="113" t="s">
        <v>5868</v>
      </c>
      <c r="C7" s="1366" t="n">
        <f aca="false">'Academy · Drivers'!C60</f>
        <v>195</v>
      </c>
      <c r="D7" s="1263" t="n">
        <f aca="false">'Academy · Drivers'!C90</f>
        <v>139.5</v>
      </c>
      <c r="E7" s="544" t="n">
        <f aca="false">'Academy · Drivers'!C60*'Academy · Drivers'!C90*12</f>
        <v>326430</v>
      </c>
      <c r="G7" s="565" t="s">
        <v>5869</v>
      </c>
      <c r="I7" s="6"/>
    </row>
    <row r="8" customFormat="false" ht="18" hidden="false" customHeight="true" outlineLevel="0" collapsed="false">
      <c r="B8" s="113" t="s">
        <v>5870</v>
      </c>
      <c r="C8" s="1366" t="n">
        <f aca="false">'Academy · Drivers'!C60*'Academy · Assumptions'!$C$60</f>
        <v>58.5</v>
      </c>
      <c r="D8" s="1263" t="n">
        <f aca="false">'Academy · Drivers'!C27</f>
        <v>250</v>
      </c>
      <c r="E8" s="544" t="n">
        <f aca="false">'Academy · Drivers'!C60*'Academy · Assumptions'!$C$60*'Academy · Drivers'!C27*12/'Academy · Drivers'!C25</f>
        <v>17550</v>
      </c>
      <c r="G8" s="565" t="s">
        <v>5871</v>
      </c>
      <c r="I8" s="6"/>
    </row>
    <row r="9" customFormat="false" ht="18" hidden="false" customHeight="true" outlineLevel="0" collapsed="false">
      <c r="B9" s="113" t="s">
        <v>5383</v>
      </c>
      <c r="C9" s="1366" t="n">
        <f aca="false">'Academy · Drivers'!C30*12</f>
        <v>240</v>
      </c>
      <c r="D9" s="1263" t="n">
        <f aca="false">'Academy · Drivers'!C31</f>
        <v>3700</v>
      </c>
      <c r="E9" s="544" t="n">
        <f aca="false">'Academy · Drivers'!C30*'Academy · Drivers'!C31*12</f>
        <v>888000</v>
      </c>
      <c r="G9" s="565" t="s">
        <v>5872</v>
      </c>
      <c r="I9" s="6"/>
    </row>
    <row r="10" customFormat="false" ht="18" hidden="false" customHeight="true" outlineLevel="0" collapsed="false">
      <c r="B10" s="113" t="s">
        <v>5384</v>
      </c>
      <c r="C10" s="1366" t="n">
        <f aca="false">'Academy · Drivers'!C32*'Academy · Drivers'!C34</f>
        <v>52.5</v>
      </c>
      <c r="D10" s="1263" t="n">
        <f aca="false">'Academy · Drivers'!C33</f>
        <v>120</v>
      </c>
      <c r="E10" s="544" t="n">
        <f aca="false">'Academy · Drivers'!C32*'Academy · Drivers'!C34*'Academy · Drivers'!C33*12</f>
        <v>75600</v>
      </c>
      <c r="G10" s="565" t="s">
        <v>5873</v>
      </c>
      <c r="I10" s="6"/>
    </row>
    <row r="11" customFormat="false" ht="18" hidden="false" customHeight="true" outlineLevel="0" collapsed="false">
      <c r="B11" s="113" t="s">
        <v>5385</v>
      </c>
      <c r="C11" s="1366" t="n">
        <f aca="false">'Academy · Drivers'!C35*12</f>
        <v>1200</v>
      </c>
      <c r="D11" s="1263" t="n">
        <f aca="false">'Academy · Drivers'!C36</f>
        <v>15</v>
      </c>
      <c r="E11" s="544" t="n">
        <f aca="false">'Academy · Drivers'!C35*'Academy · Drivers'!C36*12</f>
        <v>18000</v>
      </c>
      <c r="G11" s="565" t="s">
        <v>5874</v>
      </c>
      <c r="I11" s="6"/>
    </row>
    <row r="12" customFormat="false" ht="18" hidden="false" customHeight="true" outlineLevel="0" collapsed="false">
      <c r="B12" s="126" t="s">
        <v>5875</v>
      </c>
      <c r="C12" s="1366" t="n">
        <f aca="false">'Academy · Drivers'!C60*'Academy · Assumptions'!$C$61*'Academy · Drivers'!C29</f>
        <v>2535</v>
      </c>
      <c r="D12" s="1263" t="n">
        <v>2</v>
      </c>
      <c r="E12" s="544" t="n">
        <f aca="false">'Academy · Drivers'!C60*'Academy · Assumptions'!$C$61*'Academy · Drivers'!C29*2*12</f>
        <v>60840</v>
      </c>
      <c r="G12" s="565" t="s">
        <v>5876</v>
      </c>
      <c r="I12" s="6"/>
    </row>
    <row r="13" customFormat="false" ht="16.5" hidden="false" customHeight="true" outlineLevel="0" collapsed="false">
      <c r="B13" s="126" t="s">
        <v>5877</v>
      </c>
      <c r="E13" s="544" t="n">
        <f aca="false">'Academy · Drivers'!C116</f>
        <v>16050</v>
      </c>
      <c r="I13" s="6"/>
    </row>
    <row r="14" customFormat="false" ht="27.75" hidden="false" customHeight="true" outlineLevel="0" collapsed="false">
      <c r="B14" s="126" t="s">
        <v>5878</v>
      </c>
      <c r="C14" s="480" t="n">
        <f aca="false">'Academy · Drivers'!D214*'Academy · Drivers'!D213</f>
        <v>160</v>
      </c>
      <c r="D14" s="385" t="n">
        <f aca="false">'Academy · Drivers'!D212</f>
        <v>300</v>
      </c>
      <c r="E14" s="385" t="n">
        <f aca="false">C14*D14</f>
        <v>48000</v>
      </c>
      <c r="I14" s="6"/>
    </row>
    <row r="15" customFormat="false" ht="15" hidden="false" customHeight="true" outlineLevel="0" collapsed="false">
      <c r="B15" s="126" t="s">
        <v>5879</v>
      </c>
      <c r="C15" s="480" t="n">
        <f aca="false">'Academy · Drivers'!D215</f>
        <v>15</v>
      </c>
      <c r="D15" s="385" t="n">
        <f aca="false">'Academy · Drivers'!D216</f>
        <v>3200</v>
      </c>
      <c r="E15" s="385" t="n">
        <f aca="false">C15*D15</f>
        <v>48000</v>
      </c>
      <c r="I15" s="6"/>
    </row>
    <row r="16" customFormat="false" ht="17.25" hidden="false" customHeight="true" outlineLevel="0" collapsed="false">
      <c r="B16" s="126" t="s">
        <v>5880</v>
      </c>
      <c r="C16" s="480"/>
      <c r="D16" s="385"/>
      <c r="E16" s="385" t="n">
        <f aca="false">'Academy · Drivers'!C260</f>
        <v>96600</v>
      </c>
      <c r="F16" s="0" t="s">
        <v>5881</v>
      </c>
      <c r="I16" s="6"/>
    </row>
    <row r="17" customFormat="false" ht="21.75" hidden="false" customHeight="true" outlineLevel="0" collapsed="false">
      <c r="B17" s="1367" t="s">
        <v>5882</v>
      </c>
      <c r="C17" s="1367"/>
      <c r="D17" s="1367"/>
      <c r="E17" s="0" t="n">
        <f aca="false">SUM(E7:E16)</f>
        <v>1595070</v>
      </c>
      <c r="I17" s="6"/>
    </row>
    <row r="18" customFormat="false" ht="15" hidden="false" customHeight="true" outlineLevel="0" collapsed="false">
      <c r="B18" s="6"/>
      <c r="I18" s="6"/>
    </row>
    <row r="19" customFormat="false" ht="15" hidden="false" customHeight="true" outlineLevel="0" collapsed="false">
      <c r="B19" s="6"/>
      <c r="I19" s="6"/>
    </row>
    <row r="20" customFormat="false" ht="15" hidden="false" customHeight="true" outlineLevel="0" collapsed="false">
      <c r="B20" s="1003" t="s">
        <v>3443</v>
      </c>
      <c r="I20" s="6"/>
    </row>
    <row r="21" customFormat="false" ht="15" hidden="false" customHeight="true" outlineLevel="0" collapsed="false">
      <c r="B21" s="97" t="s">
        <v>3445</v>
      </c>
      <c r="C21" s="98" t="s">
        <v>2771</v>
      </c>
      <c r="D21" s="98" t="s">
        <v>1052</v>
      </c>
      <c r="I21" s="6"/>
    </row>
    <row r="22" customFormat="false" ht="15" hidden="false" customHeight="true" outlineLevel="0" collapsed="false">
      <c r="B22" s="113" t="s">
        <v>5381</v>
      </c>
      <c r="C22" s="571" t="n">
        <f aca="false">E7</f>
        <v>326430</v>
      </c>
      <c r="D22" s="594" t="n">
        <f aca="false">E7/$E$16</f>
        <v>3.37919254658385</v>
      </c>
      <c r="I22" s="6"/>
    </row>
    <row r="23" customFormat="false" ht="15" hidden="false" customHeight="true" outlineLevel="0" collapsed="false">
      <c r="B23" s="113" t="s">
        <v>5382</v>
      </c>
      <c r="C23" s="571" t="n">
        <f aca="false">E8</f>
        <v>17550</v>
      </c>
      <c r="D23" s="594" t="n">
        <f aca="false">E8/$E$16</f>
        <v>0.18167701863354</v>
      </c>
      <c r="I23" s="6"/>
    </row>
    <row r="24" customFormat="false" ht="15" hidden="false" customHeight="true" outlineLevel="0" collapsed="false">
      <c r="B24" s="113" t="s">
        <v>5883</v>
      </c>
      <c r="C24" s="571" t="n">
        <f aca="false">E9</f>
        <v>888000</v>
      </c>
      <c r="D24" s="594" t="n">
        <f aca="false">E9/$E$16</f>
        <v>9.19254658385093</v>
      </c>
      <c r="I24" s="6"/>
    </row>
    <row r="25" customFormat="false" ht="15" hidden="false" customHeight="true" outlineLevel="0" collapsed="false">
      <c r="B25" s="113" t="s">
        <v>5884</v>
      </c>
      <c r="C25" s="571" t="n">
        <f aca="false">E10</f>
        <v>75600</v>
      </c>
      <c r="D25" s="594" t="n">
        <f aca="false">E10/$E$16</f>
        <v>0.782608695652174</v>
      </c>
      <c r="I25" s="6"/>
    </row>
    <row r="26" customFormat="false" ht="15" hidden="false" customHeight="true" outlineLevel="0" collapsed="false">
      <c r="B26" s="113" t="s">
        <v>5885</v>
      </c>
      <c r="C26" s="571" t="n">
        <f aca="false">E11</f>
        <v>18000</v>
      </c>
      <c r="D26" s="594" t="n">
        <f aca="false">E11/$E$16</f>
        <v>0.186335403726708</v>
      </c>
      <c r="I26" s="6"/>
    </row>
    <row r="27" customFormat="false" ht="21.75" hidden="false" customHeight="true" outlineLevel="0" collapsed="false">
      <c r="B27" s="369" t="s">
        <v>5886</v>
      </c>
      <c r="C27" s="369"/>
      <c r="D27" s="369"/>
      <c r="E27" s="369"/>
      <c r="F27" s="369"/>
      <c r="G27" s="369"/>
      <c r="H27" s="369"/>
      <c r="I27" s="6"/>
    </row>
    <row r="28" customFormat="false" ht="15" hidden="false" customHeight="true" outlineLevel="0" collapsed="false">
      <c r="B28" s="113" t="s">
        <v>5387</v>
      </c>
      <c r="I28" s="6"/>
    </row>
    <row r="29" customFormat="false" ht="15" hidden="false" customHeight="true" outlineLevel="0" collapsed="false">
      <c r="B29" s="126" t="s">
        <v>5878</v>
      </c>
      <c r="C29" s="385" t="n">
        <f aca="false">E14</f>
        <v>48000</v>
      </c>
      <c r="D29" s="740" t="n">
        <f aca="false">E14/$E$16</f>
        <v>0.496894409937888</v>
      </c>
      <c r="I29" s="6"/>
    </row>
    <row r="30" customFormat="false" ht="15" hidden="false" customHeight="true" outlineLevel="0" collapsed="false">
      <c r="B30" s="113" t="s">
        <v>5887</v>
      </c>
      <c r="C30" s="385" t="n">
        <f aca="false">E15</f>
        <v>48000</v>
      </c>
      <c r="D30" s="740" t="n">
        <f aca="false">E15/$E$16</f>
        <v>0.496894409937888</v>
      </c>
      <c r="I30" s="6"/>
    </row>
    <row r="31" customFormat="false" ht="15" hidden="false" customHeight="true" outlineLevel="0" collapsed="false">
      <c r="B31" s="6"/>
      <c r="I31" s="6"/>
    </row>
    <row r="32" customFormat="false" ht="15" hidden="false" customHeight="true" outlineLevel="0" collapsed="false">
      <c r="B32" s="1003" t="s">
        <v>5888</v>
      </c>
      <c r="I32" s="6"/>
    </row>
    <row r="33" customFormat="false" ht="15" hidden="false" customHeight="true" outlineLevel="0" collapsed="false">
      <c r="B33" s="113" t="s">
        <v>5889</v>
      </c>
      <c r="C33" s="1368" t="str">
        <f aca="false">'Academy · Drivers'!C61</f>
        <v>✓ DEMAND-LIMITED (room to grow)</v>
      </c>
      <c r="I33" s="6"/>
    </row>
    <row r="34" customFormat="false" ht="15" hidden="false" customHeight="true" outlineLevel="0" collapsed="false">
      <c r="B34" s="6" t="s">
        <v>5890</v>
      </c>
      <c r="C34" s="1235" t="n">
        <f aca="false">'Academy · Drivers'!C49</f>
        <v>48578.4</v>
      </c>
      <c r="I34" s="6"/>
    </row>
    <row r="35" customFormat="false" ht="15" hidden="false" customHeight="true" outlineLevel="0" collapsed="false">
      <c r="B35" s="6" t="s">
        <v>5891</v>
      </c>
      <c r="C35" s="1235" t="n">
        <f aca="false">'Academy · Drivers'!C56</f>
        <v>1560</v>
      </c>
      <c r="I35" s="6"/>
    </row>
    <row r="36" customFormat="false" ht="15" hidden="false" customHeight="true" outlineLevel="0" collapsed="false">
      <c r="B36" s="6" t="s">
        <v>5892</v>
      </c>
      <c r="C36" s="1369" t="n">
        <f aca="false">'Academy · Drivers'!C59</f>
        <v>1560</v>
      </c>
      <c r="I36" s="6"/>
    </row>
  </sheetData>
  <mergeCells count="6">
    <mergeCell ref="B2:F2"/>
    <mergeCell ref="G2:J2"/>
    <mergeCell ref="B3:J3"/>
    <mergeCell ref="B5:H5"/>
    <mergeCell ref="B17:D17"/>
    <mergeCell ref="B27:H27"/>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J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C7" activeCellId="0" sqref="C7"/>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1"/>
    <col collapsed="false" customWidth="true" hidden="false" outlineLevel="0" max="8" min="8" style="0" width="28"/>
    <col collapsed="false" customWidth="true" hidden="false" outlineLevel="0" max="11" min="9" style="0" width="9"/>
  </cols>
  <sheetData>
    <row r="1" customFormat="false" ht="3.75" hidden="false" customHeight="true" outlineLevel="0" collapsed="false">
      <c r="B1" s="1"/>
      <c r="C1" s="2"/>
      <c r="D1" s="2"/>
      <c r="E1" s="2"/>
      <c r="F1" s="2"/>
      <c r="G1" s="1"/>
      <c r="H1" s="2"/>
      <c r="I1" s="2"/>
      <c r="J1" s="2"/>
    </row>
    <row r="2" customFormat="false" ht="27.75" hidden="false" customHeight="true" outlineLevel="0" collapsed="false">
      <c r="B2" s="878" t="s">
        <v>4926</v>
      </c>
      <c r="C2" s="878"/>
      <c r="D2" s="878"/>
      <c r="E2" s="878"/>
      <c r="F2" s="878"/>
      <c r="G2" s="1023" t="s">
        <v>3432</v>
      </c>
      <c r="H2" s="1023"/>
      <c r="I2" s="1023"/>
      <c r="J2" s="1023"/>
    </row>
    <row r="3" customFormat="false" ht="33.75" hidden="false" customHeight="true" outlineLevel="0" collapsed="false">
      <c r="B3" s="90" t="s">
        <v>5893</v>
      </c>
      <c r="C3" s="90"/>
      <c r="D3" s="90"/>
      <c r="E3" s="90"/>
      <c r="F3" s="90"/>
      <c r="G3" s="90"/>
      <c r="H3" s="90"/>
      <c r="I3" s="90"/>
      <c r="J3" s="90"/>
    </row>
    <row r="4" customFormat="false" ht="15" hidden="false" customHeight="true" outlineLevel="0" collapsed="false">
      <c r="B4" s="6"/>
      <c r="G4" s="6"/>
    </row>
    <row r="5" customFormat="false" ht="21.75" hidden="false" customHeight="true" outlineLevel="0" collapsed="false">
      <c r="B5" s="96" t="s">
        <v>4928</v>
      </c>
      <c r="C5" s="96"/>
      <c r="D5" s="96"/>
      <c r="E5" s="96"/>
      <c r="F5" s="96"/>
      <c r="G5" s="96"/>
      <c r="H5" s="96"/>
    </row>
    <row r="6" customFormat="false" ht="19.5" hidden="false" customHeight="true" outlineLevel="0" collapsed="false">
      <c r="B6" s="99" t="s">
        <v>4929</v>
      </c>
      <c r="C6" s="98" t="s">
        <v>2771</v>
      </c>
      <c r="D6" s="98" t="s">
        <v>4930</v>
      </c>
      <c r="E6" s="98" t="s">
        <v>5894</v>
      </c>
      <c r="F6" s="98" t="s">
        <v>4016</v>
      </c>
      <c r="G6" s="99" t="s">
        <v>4932</v>
      </c>
      <c r="H6" s="98" t="s">
        <v>778</v>
      </c>
    </row>
    <row r="7" customFormat="false" ht="16.5" hidden="false" customHeight="true" outlineLevel="0" collapsed="false">
      <c r="B7" s="113" t="s">
        <v>5895</v>
      </c>
      <c r="C7" s="1277" t="n">
        <f aca="false">'Academy · Drivers'!C66</f>
        <v>100000</v>
      </c>
      <c r="D7" s="593" t="n">
        <f aca="false">C7/'Academy · Revenue'!E17</f>
        <v>0.062693173340355</v>
      </c>
      <c r="E7" s="1271" t="n">
        <f aca="false">C7/IF('Academy · Drivers'!C60*12=0,1,'Academy · Drivers'!C60*12)</f>
        <v>42.7350427350427</v>
      </c>
      <c r="F7" s="455" t="s">
        <v>3663</v>
      </c>
      <c r="G7" s="1279" t="n">
        <v>0</v>
      </c>
      <c r="H7" s="565" t="s">
        <v>5896</v>
      </c>
    </row>
    <row r="8" customFormat="false" ht="16.5" hidden="false" customHeight="true" outlineLevel="0" collapsed="false">
      <c r="B8" s="126" t="s">
        <v>5897</v>
      </c>
      <c r="C8" s="1277" t="n">
        <f aca="false">'Academy · Drivers'!C67</f>
        <v>86400</v>
      </c>
      <c r="D8" s="593" t="n">
        <f aca="false">C8/'Academy · Revenue'!E17</f>
        <v>0.0541669017660667</v>
      </c>
      <c r="E8" s="1271" t="n">
        <f aca="false">C8/IF('Academy · Drivers'!C60*12=0,1,'Academy · Drivers'!C60*12)</f>
        <v>36.9230769230769</v>
      </c>
      <c r="F8" s="455" t="s">
        <v>3663</v>
      </c>
      <c r="G8" s="1279" t="n">
        <v>0</v>
      </c>
      <c r="H8" s="565" t="s">
        <v>5898</v>
      </c>
    </row>
    <row r="9" customFormat="false" ht="16.5" hidden="false" customHeight="true" outlineLevel="0" collapsed="false">
      <c r="B9" s="113" t="s">
        <v>5899</v>
      </c>
      <c r="C9" s="1277" t="n">
        <f aca="false">'Academy · Drivers'!C68</f>
        <v>36000</v>
      </c>
      <c r="D9" s="593" t="n">
        <f aca="false">C9/'Academy · Revenue'!E17</f>
        <v>0.0225695424025278</v>
      </c>
      <c r="E9" s="1271" t="n">
        <f aca="false">C9/IF('Academy · Drivers'!C60*12=0,1,'Academy · Drivers'!C60*12)</f>
        <v>15.3846153846154</v>
      </c>
      <c r="F9" s="455" t="s">
        <v>3663</v>
      </c>
      <c r="G9" s="1279" t="n">
        <v>0</v>
      </c>
      <c r="H9" s="565" t="s">
        <v>5900</v>
      </c>
    </row>
    <row r="10" customFormat="false" ht="16.5" hidden="false" customHeight="true" outlineLevel="0" collapsed="false">
      <c r="B10" s="113" t="s">
        <v>4944</v>
      </c>
      <c r="C10" s="1277" t="n">
        <v>0</v>
      </c>
      <c r="D10" s="593" t="n">
        <f aca="false">C10/'Academy · Revenue'!E17</f>
        <v>0</v>
      </c>
      <c r="E10" s="1271" t="n">
        <f aca="false">C10/IF('Academy · Drivers'!C60*12=0,1,'Academy · Drivers'!C60*12)</f>
        <v>0</v>
      </c>
      <c r="F10" s="455" t="s">
        <v>3663</v>
      </c>
      <c r="G10" s="1279" t="n">
        <v>0</v>
      </c>
      <c r="H10" s="565" t="s">
        <v>5901</v>
      </c>
    </row>
    <row r="11" customFormat="false" ht="16.5" hidden="false" customHeight="true" outlineLevel="0" collapsed="false">
      <c r="B11" s="113" t="s">
        <v>4940</v>
      </c>
      <c r="C11" s="1277" t="n">
        <v>0</v>
      </c>
      <c r="D11" s="593" t="n">
        <f aca="false">C11/'Academy · Revenue'!E17</f>
        <v>0</v>
      </c>
      <c r="E11" s="1271" t="n">
        <f aca="false">C11/IF('Academy · Drivers'!C60*12=0,1,'Academy · Drivers'!C60*12)</f>
        <v>0</v>
      </c>
      <c r="F11" s="455" t="s">
        <v>3663</v>
      </c>
      <c r="G11" s="1279" t="n">
        <v>0</v>
      </c>
      <c r="H11" s="565" t="s">
        <v>5902</v>
      </c>
    </row>
    <row r="12" customFormat="false" ht="16.5" hidden="false" customHeight="true" outlineLevel="0" collapsed="false">
      <c r="B12" s="113" t="s">
        <v>5903</v>
      </c>
      <c r="C12" s="1277" t="n">
        <v>12000</v>
      </c>
      <c r="D12" s="593" t="n">
        <f aca="false">C12/'Academy · Revenue'!E17</f>
        <v>0.0075231808008426</v>
      </c>
      <c r="E12" s="1271" t="n">
        <f aca="false">C12/IF('Academy · Drivers'!C60*12=0,1,'Academy · Drivers'!C60*12)</f>
        <v>5.12820512820513</v>
      </c>
      <c r="F12" s="455" t="s">
        <v>3663</v>
      </c>
      <c r="G12" s="1279" t="n">
        <v>0</v>
      </c>
      <c r="H12" s="565"/>
    </row>
    <row r="13" customFormat="false" ht="16.5" hidden="false" customHeight="true" outlineLevel="0" collapsed="false">
      <c r="B13" s="113" t="s">
        <v>5904</v>
      </c>
      <c r="C13" s="1277" t="n">
        <f aca="false">'Academy · Drivers'!C72</f>
        <v>24000</v>
      </c>
      <c r="D13" s="593" t="n">
        <f aca="false">C13/'Academy · Revenue'!E17</f>
        <v>0.0150463616016852</v>
      </c>
      <c r="E13" s="1271" t="n">
        <f aca="false">C13/IF('Academy · Drivers'!C60*12=0,1,'Academy · Drivers'!C60*12)</f>
        <v>10.2564102564103</v>
      </c>
      <c r="F13" s="455" t="s">
        <v>3663</v>
      </c>
      <c r="G13" s="1279" t="n">
        <v>0</v>
      </c>
      <c r="H13" s="565" t="s">
        <v>5905</v>
      </c>
    </row>
    <row r="14" customFormat="false" ht="16.5" hidden="false" customHeight="true" outlineLevel="0" collapsed="false">
      <c r="B14" s="126" t="s">
        <v>5906</v>
      </c>
      <c r="C14" s="1277" t="n">
        <v>0</v>
      </c>
      <c r="D14" s="593" t="n">
        <f aca="false">C14/'Academy · Revenue'!E17</f>
        <v>0</v>
      </c>
      <c r="E14" s="1271" t="n">
        <f aca="false">C14/IF('Academy · Drivers'!C60*12=0,1,'Academy · Drivers'!C60*12)</f>
        <v>0</v>
      </c>
      <c r="F14" s="455" t="s">
        <v>3663</v>
      </c>
      <c r="G14" s="1279" t="n">
        <v>0</v>
      </c>
      <c r="H14" s="538" t="s">
        <v>5907</v>
      </c>
    </row>
    <row r="15" customFormat="false" ht="15" hidden="false" customHeight="true" outlineLevel="0" collapsed="false">
      <c r="B15" s="6"/>
      <c r="G15" s="6"/>
    </row>
    <row r="16" customFormat="false" ht="16.5" hidden="false" customHeight="true" outlineLevel="0" collapsed="false">
      <c r="B16" s="113" t="s">
        <v>5908</v>
      </c>
      <c r="C16" s="1277" t="n">
        <f aca="false">'Academy · Drivers'!C76*'Academy · Drivers'!C60*12</f>
        <v>9360</v>
      </c>
      <c r="D16" s="593" t="n">
        <f aca="false">C16/'Academy · Revenue'!E17</f>
        <v>0.00586808102465723</v>
      </c>
      <c r="E16" s="1271" t="n">
        <f aca="false">C16/IF('Academy · Drivers'!C60*12=0,1,'Academy · Drivers'!C60*12)</f>
        <v>4</v>
      </c>
      <c r="F16" s="821" t="s">
        <v>4027</v>
      </c>
      <c r="G16" s="1279" t="n">
        <v>1</v>
      </c>
      <c r="H16" s="565" t="s">
        <v>5909</v>
      </c>
    </row>
    <row r="17" customFormat="false" ht="16.5" hidden="false" customHeight="true" outlineLevel="0" collapsed="false">
      <c r="B17" s="113" t="s">
        <v>5910</v>
      </c>
      <c r="C17" s="1277" t="n">
        <f aca="false">'Academy · Drivers'!C77*'Academy · Drivers'!C60*12*'Academy · Assumptions'!$C$60</f>
        <v>4212</v>
      </c>
      <c r="D17" s="593" t="n">
        <f aca="false">C17/'Academy · Revenue'!E17</f>
        <v>0.00264063646109575</v>
      </c>
      <c r="E17" s="1271" t="n">
        <f aca="false">C17/IF('Academy · Drivers'!C60*12=0,1,'Academy · Drivers'!C60*12)</f>
        <v>1.8</v>
      </c>
      <c r="F17" s="821" t="s">
        <v>4027</v>
      </c>
      <c r="G17" s="1279" t="n">
        <v>1</v>
      </c>
      <c r="H17" s="565" t="s">
        <v>5911</v>
      </c>
    </row>
    <row r="18" customFormat="false" ht="16.5" hidden="false" customHeight="true" outlineLevel="0" collapsed="false">
      <c r="B18" s="126" t="s">
        <v>5912</v>
      </c>
      <c r="C18" s="1277" t="n">
        <f aca="false">'Academy · Drivers'!C80*'Academy · Drivers'!C30*12</f>
        <v>72000</v>
      </c>
      <c r="D18" s="593" t="n">
        <f aca="false">C18/'Academy · Revenue'!E17</f>
        <v>0.0451390848050556</v>
      </c>
      <c r="E18" s="1271" t="n">
        <f aca="false">C18/IF('Academy · Drivers'!C60*12=0,1,'Academy · Drivers'!C60*12)</f>
        <v>30.7692307692308</v>
      </c>
      <c r="F18" s="821" t="s">
        <v>4027</v>
      </c>
      <c r="G18" s="1279" t="n">
        <v>1</v>
      </c>
      <c r="H18" s="565" t="s">
        <v>5913</v>
      </c>
    </row>
    <row r="19" customFormat="false" ht="16.5" hidden="false" customHeight="true" outlineLevel="0" collapsed="false">
      <c r="B19" s="126" t="s">
        <v>5914</v>
      </c>
      <c r="C19" s="1277" t="n">
        <f aca="false">'Academy · Drivers'!C78*'Academy · Drivers'!C60*12</f>
        <v>46800</v>
      </c>
      <c r="D19" s="593" t="n">
        <f aca="false">C19/'Academy · Revenue'!E17</f>
        <v>0.0293404051232861</v>
      </c>
      <c r="E19" s="1271" t="n">
        <f aca="false">C19/IF('Academy · Drivers'!C60*12=0,1,'Academy · Drivers'!C60*12)</f>
        <v>20</v>
      </c>
      <c r="F19" s="821" t="s">
        <v>4027</v>
      </c>
      <c r="G19" s="1279" t="n">
        <v>1</v>
      </c>
      <c r="H19" s="565" t="s">
        <v>5915</v>
      </c>
    </row>
    <row r="20" customFormat="false" ht="16.5" hidden="false" customHeight="true" outlineLevel="0" collapsed="false">
      <c r="B20" s="113" t="s">
        <v>5916</v>
      </c>
      <c r="C20" s="1277" t="n">
        <v>0</v>
      </c>
      <c r="D20" s="593" t="n">
        <f aca="false">C20/'Academy · Revenue'!E17</f>
        <v>0</v>
      </c>
      <c r="E20" s="1271" t="n">
        <f aca="false">C20/IF('Academy · Drivers'!C60*12=0,1,'Academy · Drivers'!C60*12)</f>
        <v>0</v>
      </c>
      <c r="F20" s="820" t="s">
        <v>4029</v>
      </c>
      <c r="G20" s="1279" t="n">
        <v>0.7</v>
      </c>
      <c r="H20" s="565" t="s">
        <v>4951</v>
      </c>
    </row>
    <row r="21" customFormat="false" ht="33.75" hidden="false" customHeight="true" outlineLevel="0" collapsed="false">
      <c r="B21" s="126" t="s">
        <v>5917</v>
      </c>
      <c r="C21" s="1277" t="n">
        <f aca="false">'Academy · Drivers'!C122</f>
        <v>61400</v>
      </c>
      <c r="D21" s="593" t="n">
        <f aca="false">C21/'Academy · Revenue'!E17</f>
        <v>0.038493608430978</v>
      </c>
      <c r="F21" s="455" t="s">
        <v>3663</v>
      </c>
      <c r="G21" s="1279" t="n">
        <v>0</v>
      </c>
      <c r="H21" s="565" t="s">
        <v>5918</v>
      </c>
    </row>
    <row r="22" customFormat="false" ht="24" hidden="false" customHeight="true" outlineLevel="0" collapsed="false">
      <c r="B22" s="126" t="s">
        <v>5919</v>
      </c>
      <c r="C22" s="385" t="n">
        <f aca="false">('Academy · Drivers'!D214*1200) + ('Academy · Drivers'!D215*150)</f>
        <v>11850</v>
      </c>
      <c r="G22" s="6"/>
    </row>
    <row r="23" customFormat="false" ht="15" hidden="false" customHeight="true" outlineLevel="0" collapsed="false">
      <c r="B23" s="126" t="s">
        <v>5920</v>
      </c>
      <c r="C23" s="385" t="n">
        <f aca="false">'Academy · Drivers'!C268</f>
        <v>49000</v>
      </c>
      <c r="E23" s="0" t="s">
        <v>5921</v>
      </c>
      <c r="F23" s="0" t="s">
        <v>3663</v>
      </c>
      <c r="G23" s="6" t="n">
        <v>0</v>
      </c>
    </row>
    <row r="24" customFormat="false" ht="21.75" hidden="false" customHeight="true" outlineLevel="0" collapsed="false">
      <c r="B24" s="117" t="s">
        <v>4953</v>
      </c>
      <c r="C24" s="0" t="n">
        <f aca="false">SUM(C7:C23)</f>
        <v>513022</v>
      </c>
      <c r="G24" s="6"/>
    </row>
    <row r="25" customFormat="false" ht="15" hidden="false" customHeight="true" outlineLevel="0" collapsed="false">
      <c r="B25" s="6"/>
      <c r="G25" s="6"/>
    </row>
    <row r="26" customFormat="false" ht="33.75" hidden="false" customHeight="true" outlineLevel="0" collapsed="false">
      <c r="B26" s="318" t="s">
        <v>5922</v>
      </c>
      <c r="G26" s="6"/>
    </row>
    <row r="27" customFormat="false" ht="15" hidden="false" customHeight="true" outlineLevel="0" collapsed="false">
      <c r="B27" s="81" t="s">
        <v>4957</v>
      </c>
      <c r="C27" s="406" t="n">
        <f aca="false">SUMPRODUCT(C7:C23,1-G7:G23)</f>
        <v>380650</v>
      </c>
      <c r="D27" s="1370" t="n">
        <f aca="false">C27/C24</f>
        <v>0.741975977638386</v>
      </c>
      <c r="G27" s="6"/>
    </row>
    <row r="28" customFormat="false" ht="15" hidden="false" customHeight="true" outlineLevel="0" collapsed="false">
      <c r="B28" s="663" t="s">
        <v>4958</v>
      </c>
      <c r="C28" s="1371" t="n">
        <f aca="false">SUMPRODUCT(C7:C23,G7:G23)</f>
        <v>132372</v>
      </c>
      <c r="D28" s="1370" t="n">
        <f aca="false">C28/C24</f>
        <v>0.258024022361614</v>
      </c>
      <c r="G28" s="6"/>
    </row>
    <row r="29" customFormat="false" ht="15" hidden="false" customHeight="true" outlineLevel="0" collapsed="false">
      <c r="B29" s="6"/>
      <c r="G29" s="6"/>
    </row>
    <row r="30" customFormat="false" ht="15" hidden="false" customHeight="true" outlineLevel="0" collapsed="false">
      <c r="B30" s="1076" t="s">
        <v>4959</v>
      </c>
      <c r="C30" s="1284" t="n">
        <f aca="false">C27/'Academy · Revenue'!E17</f>
        <v>0.238641564320061</v>
      </c>
      <c r="G30" s="6"/>
    </row>
    <row r="31" customFormat="false" ht="15" hidden="false" customHeight="true" outlineLevel="0" collapsed="false">
      <c r="B31" s="6"/>
      <c r="G31" s="6"/>
    </row>
    <row r="32" customFormat="false" ht="21.75" hidden="false" customHeight="true" outlineLevel="0" collapsed="false">
      <c r="B32" s="1372" t="s">
        <v>4961</v>
      </c>
      <c r="C32" s="1372"/>
      <c r="D32" s="1372"/>
      <c r="E32" s="1372"/>
      <c r="F32" s="1372"/>
      <c r="G32" s="1372"/>
      <c r="H32" s="1372"/>
    </row>
    <row r="33" customFormat="false" ht="15" hidden="false" customHeight="true" outlineLevel="0" collapsed="false">
      <c r="B33" s="6"/>
      <c r="G33" s="6"/>
    </row>
    <row r="34" customFormat="false" ht="15" hidden="false" customHeight="true" outlineLevel="0" collapsed="false">
      <c r="B34" s="1373" t="s">
        <v>4069</v>
      </c>
      <c r="G34" s="6"/>
    </row>
    <row r="35" customFormat="false" ht="17.25" hidden="false" customHeight="true" outlineLevel="0" collapsed="false">
      <c r="B35" s="6" t="s">
        <v>4962</v>
      </c>
      <c r="C35" s="1374" t="n">
        <f aca="false">'Academy · Revenue'!E17</f>
        <v>1595070</v>
      </c>
      <c r="G35" s="6"/>
    </row>
    <row r="36" customFormat="false" ht="15" hidden="false" customHeight="true" outlineLevel="0" collapsed="false">
      <c r="B36" s="6" t="s">
        <v>4963</v>
      </c>
      <c r="C36" s="1375" t="n">
        <f aca="false">-C24</f>
        <v>-513022</v>
      </c>
      <c r="G36" s="6"/>
    </row>
    <row r="37" customFormat="false" ht="15" hidden="false" customHeight="true" outlineLevel="0" collapsed="false">
      <c r="B37" s="1376" t="s">
        <v>4964</v>
      </c>
      <c r="C37" s="1377" t="n">
        <f aca="false">C35+C36</f>
        <v>1082048</v>
      </c>
      <c r="G37" s="6"/>
    </row>
    <row r="38" customFormat="false" ht="15" hidden="false" customHeight="true" outlineLevel="0" collapsed="false">
      <c r="B38" s="592" t="s">
        <v>4965</v>
      </c>
      <c r="C38" s="1156" t="n">
        <f aca="false">C37/C35</f>
        <v>0.678370228265844</v>
      </c>
      <c r="G38" s="6"/>
    </row>
  </sheetData>
  <mergeCells count="5">
    <mergeCell ref="B2:F2"/>
    <mergeCell ref="G2:J2"/>
    <mergeCell ref="B3:J3"/>
    <mergeCell ref="B5:H5"/>
    <mergeCell ref="B32:H32"/>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K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2"/>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5923</v>
      </c>
      <c r="C2" s="88"/>
      <c r="D2" s="88"/>
      <c r="E2" s="88"/>
      <c r="F2" s="88"/>
      <c r="G2" s="88"/>
      <c r="H2" s="89" t="s">
        <v>995</v>
      </c>
      <c r="I2" s="89"/>
      <c r="J2" s="89"/>
      <c r="K2" s="89"/>
    </row>
    <row r="3" customFormat="false" ht="33.75" hidden="false" customHeight="true" outlineLevel="0" collapsed="false">
      <c r="B3" s="90" t="s">
        <v>5924</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206</v>
      </c>
      <c r="C5" s="98" t="s">
        <v>760</v>
      </c>
      <c r="D5" s="98" t="s">
        <v>908</v>
      </c>
      <c r="E5" s="98" t="s">
        <v>765</v>
      </c>
      <c r="F5" s="98" t="s">
        <v>770</v>
      </c>
      <c r="G5" s="98" t="s">
        <v>909</v>
      </c>
      <c r="H5" s="98" t="s">
        <v>910</v>
      </c>
      <c r="I5" s="98" t="s">
        <v>911</v>
      </c>
      <c r="J5" s="98" t="s">
        <v>912</v>
      </c>
      <c r="K5" s="99" t="s">
        <v>875</v>
      </c>
    </row>
    <row r="6" customFormat="false" ht="15" hidden="false" customHeight="true" outlineLevel="0" collapsed="false">
      <c r="B6" s="592" t="s">
        <v>4059</v>
      </c>
      <c r="C6" s="1378" t="n">
        <v>0.8</v>
      </c>
      <c r="D6" s="1378" t="n">
        <v>0.9</v>
      </c>
      <c r="E6" s="1378" t="n">
        <v>1</v>
      </c>
      <c r="F6" s="1378" t="n">
        <v>1</v>
      </c>
      <c r="G6" s="1378" t="n">
        <v>1</v>
      </c>
      <c r="H6" s="1378" t="n">
        <v>1.05</v>
      </c>
      <c r="I6" s="1378" t="n">
        <v>1.05</v>
      </c>
      <c r="J6" s="1378" t="n">
        <v>1.05</v>
      </c>
      <c r="K6" s="6"/>
    </row>
    <row r="7" customFormat="false" ht="15" hidden="false" customHeight="true" outlineLevel="0" collapsed="false">
      <c r="B7" s="592" t="s">
        <v>5925</v>
      </c>
      <c r="C7" s="1379" t="n">
        <f aca="false">(1+0.03)^0</f>
        <v>1</v>
      </c>
      <c r="D7" s="1379" t="n">
        <f aca="false">(1+0.03)^1</f>
        <v>1.03</v>
      </c>
      <c r="E7" s="1379" t="n">
        <f aca="false">(1+0.03)^2</f>
        <v>1.0609</v>
      </c>
      <c r="F7" s="1379" t="n">
        <f aca="false">(1+0.03)^3</f>
        <v>1.092727</v>
      </c>
      <c r="G7" s="1379" t="n">
        <f aca="false">(1+0.03)^4</f>
        <v>1.12550881</v>
      </c>
      <c r="H7" s="1379" t="n">
        <f aca="false">(1+0.03)^5</f>
        <v>1.1592740743</v>
      </c>
      <c r="I7" s="1379" t="n">
        <f aca="false">(1+0.03)^6</f>
        <v>1.194052296529</v>
      </c>
      <c r="J7" s="1379" t="n">
        <f aca="false">(1+0.03)^7</f>
        <v>1.22987386542487</v>
      </c>
      <c r="K7" s="6"/>
    </row>
    <row r="8" customFormat="false" ht="15" hidden="false" customHeight="true" outlineLevel="0" collapsed="false">
      <c r="B8" s="6"/>
      <c r="K8" s="6"/>
    </row>
    <row r="9" customFormat="false" ht="21.75" hidden="false" customHeight="true" outlineLevel="0" collapsed="false">
      <c r="B9" s="575" t="s">
        <v>4061</v>
      </c>
      <c r="C9" s="575"/>
      <c r="D9" s="575"/>
      <c r="E9" s="575"/>
      <c r="F9" s="575"/>
      <c r="G9" s="575"/>
      <c r="H9" s="575"/>
      <c r="I9" s="575"/>
      <c r="J9" s="575"/>
      <c r="K9" s="575"/>
    </row>
    <row r="10" customFormat="false" ht="15" hidden="false" customHeight="true" outlineLevel="0" collapsed="false">
      <c r="B10" s="1380" t="s">
        <v>4062</v>
      </c>
      <c r="C10" s="720" t="n">
        <f aca="false">'Academy · Revenue'!E17</f>
        <v>1595070</v>
      </c>
      <c r="D10" s="720" t="n">
        <f aca="false">'Academy · Revenue'!E17</f>
        <v>1595070</v>
      </c>
      <c r="E10" s="720" t="n">
        <f aca="false">'Academy · Revenue'!E17</f>
        <v>1595070</v>
      </c>
      <c r="F10" s="720" t="n">
        <f aca="false">'Academy · Revenue'!E17</f>
        <v>1595070</v>
      </c>
      <c r="G10" s="720" t="n">
        <f aca="false">'Academy · Revenue'!E17</f>
        <v>1595070</v>
      </c>
      <c r="H10" s="720" t="n">
        <f aca="false">'Academy · Revenue'!E17</f>
        <v>1595070</v>
      </c>
      <c r="I10" s="720" t="n">
        <f aca="false">'Academy · Revenue'!E17</f>
        <v>1595070</v>
      </c>
      <c r="J10" s="720" t="n">
        <f aca="false">'Academy · Revenue'!E17</f>
        <v>1595070</v>
      </c>
      <c r="K10" s="6"/>
    </row>
    <row r="11" customFormat="false" ht="15" hidden="false" customHeight="true" outlineLevel="0" collapsed="false">
      <c r="B11" s="81" t="s">
        <v>4063</v>
      </c>
      <c r="C11" s="544" t="n">
        <f aca="false">'Academy · Revenue'!E17*C6*C7</f>
        <v>1276056</v>
      </c>
      <c r="D11" s="544" t="n">
        <f aca="false">'Academy · Revenue'!E17*D6*D7</f>
        <v>1478629.89</v>
      </c>
      <c r="E11" s="544" t="n">
        <f aca="false">'Academy · Revenue'!E17*E6*E7</f>
        <v>1692209.763</v>
      </c>
      <c r="F11" s="544" t="n">
        <f aca="false">'Academy · Revenue'!E17*F6*F7</f>
        <v>1742976.05589</v>
      </c>
      <c r="G11" s="544" t="n">
        <f aca="false">'Academy · Revenue'!E17*G6*G7</f>
        <v>1795265.3375667</v>
      </c>
      <c r="H11" s="544" t="n">
        <f aca="false">'Academy · Revenue'!E17*H6*H7</f>
        <v>1941579.46257839</v>
      </c>
      <c r="I11" s="544" t="n">
        <f aca="false">'Academy · Revenue'!E17*I6*I7</f>
        <v>1999826.84645574</v>
      </c>
      <c r="J11" s="544" t="n">
        <f aca="false">'Academy · Revenue'!E17*J6*J7</f>
        <v>2059821.65184941</v>
      </c>
      <c r="K11" s="1381" t="n">
        <f aca="false">SUM(C11:J11)</f>
        <v>13986365.0073402</v>
      </c>
    </row>
    <row r="12" customFormat="false" ht="15" hidden="false" customHeight="true" outlineLevel="0" collapsed="false">
      <c r="B12" s="1382" t="s">
        <v>4064</v>
      </c>
      <c r="D12" s="593" t="n">
        <f aca="false">D11/C11-1</f>
        <v>0.15875</v>
      </c>
      <c r="E12" s="593" t="n">
        <f aca="false">E11/D11-1</f>
        <v>0.144444444444444</v>
      </c>
      <c r="F12" s="593" t="n">
        <f aca="false">F11/E11-1</f>
        <v>0.03</v>
      </c>
      <c r="G12" s="593" t="n">
        <f aca="false">G11/F11-1</f>
        <v>0.0300000000000003</v>
      </c>
      <c r="H12" s="593" t="n">
        <f aca="false">H11/G11-1</f>
        <v>0.0814999999999999</v>
      </c>
      <c r="I12" s="593" t="n">
        <f aca="false">I11/H11-1</f>
        <v>0.0300000000000003</v>
      </c>
      <c r="J12" s="593" t="n">
        <f aca="false">J11/I11-1</f>
        <v>0.03</v>
      </c>
      <c r="K12" s="6"/>
    </row>
    <row r="13" customFormat="false" ht="15" hidden="false" customHeight="true" outlineLevel="0" collapsed="false">
      <c r="B13" s="6"/>
      <c r="K13" s="6"/>
    </row>
    <row r="14" customFormat="false" ht="21.75" hidden="false" customHeight="true" outlineLevel="0" collapsed="false">
      <c r="B14" s="575" t="s">
        <v>4065</v>
      </c>
      <c r="C14" s="575"/>
      <c r="D14" s="575"/>
      <c r="E14" s="575"/>
      <c r="F14" s="575"/>
      <c r="G14" s="575"/>
      <c r="H14" s="575"/>
      <c r="I14" s="575"/>
      <c r="J14" s="575"/>
      <c r="K14" s="575"/>
    </row>
    <row r="15" customFormat="false" ht="15" hidden="false" customHeight="true" outlineLevel="0" collapsed="false">
      <c r="B15" s="113" t="s">
        <v>4066</v>
      </c>
      <c r="C15" s="360" t="n">
        <f aca="false">'Academy · Costs'!$C$27*C7</f>
        <v>380650</v>
      </c>
      <c r="D15" s="360" t="n">
        <f aca="false">'Academy · Costs'!$C$27*D7</f>
        <v>392069.5</v>
      </c>
      <c r="E15" s="360" t="n">
        <f aca="false">'Academy · Costs'!$C$27*E7</f>
        <v>403831.585</v>
      </c>
      <c r="F15" s="360" t="n">
        <f aca="false">'Academy · Costs'!$C$27*F7</f>
        <v>415946.53255</v>
      </c>
      <c r="G15" s="360" t="n">
        <f aca="false">'Academy · Costs'!$C$27*G7</f>
        <v>428424.9285265</v>
      </c>
      <c r="H15" s="360" t="n">
        <f aca="false">'Academy · Costs'!$C$27*H7</f>
        <v>441277.676382295</v>
      </c>
      <c r="I15" s="360" t="n">
        <f aca="false">'Academy · Costs'!$C$27*I7</f>
        <v>454516.006673764</v>
      </c>
      <c r="J15" s="360" t="n">
        <f aca="false">'Academy · Costs'!$C$27*J7</f>
        <v>468151.486873977</v>
      </c>
      <c r="K15" s="6"/>
    </row>
    <row r="16" customFormat="false" ht="15" hidden="false" customHeight="true" outlineLevel="0" collapsed="false">
      <c r="B16" s="126" t="s">
        <v>4067</v>
      </c>
      <c r="C16" s="360" t="n">
        <f aca="false">'Academy · Costs'!$C$28*C6*C7</f>
        <v>105897.6</v>
      </c>
      <c r="D16" s="360" t="n">
        <f aca="false">'Academy · Costs'!$C$28*D6*D7</f>
        <v>122708.844</v>
      </c>
      <c r="E16" s="360" t="n">
        <f aca="false">'Academy · Costs'!$C$28*E6*E7</f>
        <v>140433.4548</v>
      </c>
      <c r="F16" s="360" t="n">
        <f aca="false">'Academy · Costs'!$C$28*F6*F7</f>
        <v>144646.458444</v>
      </c>
      <c r="G16" s="360" t="n">
        <f aca="false">'Academy · Costs'!$C$28*G6*G7</f>
        <v>148985.85219732</v>
      </c>
      <c r="H16" s="360" t="n">
        <f aca="false">'Academy · Costs'!$C$28*H6*H7</f>
        <v>161128.199151402</v>
      </c>
      <c r="I16" s="360" t="n">
        <f aca="false">'Academy · Costs'!$C$28*I6*I7</f>
        <v>165962.045125944</v>
      </c>
      <c r="J16" s="360" t="n">
        <f aca="false">'Academy · Costs'!$C$28*J6*J7</f>
        <v>170940.906479722</v>
      </c>
      <c r="K16" s="6"/>
    </row>
    <row r="17" customFormat="false" ht="15" hidden="false" customHeight="true" outlineLevel="0" collapsed="false">
      <c r="B17" s="81" t="s">
        <v>4068</v>
      </c>
      <c r="C17" s="599" t="n">
        <f aca="false">C15+C16</f>
        <v>486547.6</v>
      </c>
      <c r="D17" s="599" t="n">
        <f aca="false">D15+D16</f>
        <v>514778.344</v>
      </c>
      <c r="E17" s="599" t="n">
        <f aca="false">E15+E16</f>
        <v>544265.0398</v>
      </c>
      <c r="F17" s="599" t="n">
        <f aca="false">F15+F16</f>
        <v>560592.990994</v>
      </c>
      <c r="G17" s="599" t="n">
        <f aca="false">G15+G16</f>
        <v>577410.78072382</v>
      </c>
      <c r="H17" s="599" t="n">
        <f aca="false">H15+H16</f>
        <v>602405.875533697</v>
      </c>
      <c r="I17" s="599" t="n">
        <f aca="false">I15+I16</f>
        <v>620478.051799708</v>
      </c>
      <c r="J17" s="599" t="n">
        <f aca="false">J15+J16</f>
        <v>639092.393353699</v>
      </c>
      <c r="K17" s="1381" t="n">
        <f aca="false">SUM(C17:J17)</f>
        <v>4545571.07620492</v>
      </c>
    </row>
    <row r="18" customFormat="false" ht="15" hidden="false" customHeight="true" outlineLevel="0" collapsed="false">
      <c r="B18" s="6"/>
      <c r="K18" s="6"/>
    </row>
    <row r="19" customFormat="false" ht="21.75" hidden="false" customHeight="true" outlineLevel="0" collapsed="false">
      <c r="B19" s="72" t="s">
        <v>4069</v>
      </c>
      <c r="C19" s="72"/>
      <c r="D19" s="72"/>
      <c r="E19" s="72"/>
      <c r="F19" s="72"/>
      <c r="G19" s="72"/>
      <c r="H19" s="72"/>
      <c r="I19" s="72"/>
      <c r="J19" s="72"/>
      <c r="K19" s="72"/>
    </row>
    <row r="20" customFormat="false" ht="15" hidden="false" customHeight="true" outlineLevel="0" collapsed="false">
      <c r="B20" s="81" t="s">
        <v>3437</v>
      </c>
      <c r="C20" s="577" t="n">
        <f aca="false">C11-C17</f>
        <v>789508.4</v>
      </c>
      <c r="D20" s="577" t="n">
        <f aca="false">D11-D17</f>
        <v>963851.546</v>
      </c>
      <c r="E20" s="577" t="n">
        <f aca="false">E11-E17</f>
        <v>1147944.7232</v>
      </c>
      <c r="F20" s="577" t="n">
        <f aca="false">F11-F17</f>
        <v>1182383.064896</v>
      </c>
      <c r="G20" s="577" t="n">
        <f aca="false">G11-G17</f>
        <v>1217854.55684288</v>
      </c>
      <c r="H20" s="577" t="n">
        <f aca="false">H11-H17</f>
        <v>1339173.58704469</v>
      </c>
      <c r="I20" s="577" t="n">
        <f aca="false">I11-I17</f>
        <v>1379348.79465603</v>
      </c>
      <c r="J20" s="577" t="n">
        <f aca="false">J11-J17</f>
        <v>1420729.25849571</v>
      </c>
      <c r="K20" s="1383" t="n">
        <f aca="false">SUM(C20:J20)</f>
        <v>9440793.93113531</v>
      </c>
    </row>
    <row r="21" customFormat="false" ht="15" hidden="false" customHeight="true" outlineLevel="0" collapsed="false">
      <c r="B21" s="1382" t="s">
        <v>4387</v>
      </c>
      <c r="C21" s="593" t="n">
        <f aca="false">C20/C11</f>
        <v>0.618709837185829</v>
      </c>
      <c r="D21" s="593" t="n">
        <f aca="false">D20/D11</f>
        <v>0.651854498896949</v>
      </c>
      <c r="E21" s="593" t="n">
        <f aca="false">E20/E11</f>
        <v>0.678370228265844</v>
      </c>
      <c r="F21" s="593" t="n">
        <f aca="false">F20/F11</f>
        <v>0.678370228265844</v>
      </c>
      <c r="G21" s="593" t="n">
        <f aca="false">G20/G11</f>
        <v>0.678370228265844</v>
      </c>
      <c r="H21" s="593" t="n">
        <f aca="false">H20/H11</f>
        <v>0.689734112281085</v>
      </c>
      <c r="I21" s="593" t="n">
        <f aca="false">I20/I11</f>
        <v>0.689734112281085</v>
      </c>
      <c r="J21" s="593" t="n">
        <f aca="false">J20/J11</f>
        <v>0.689734112281085</v>
      </c>
      <c r="K21" s="6"/>
    </row>
    <row r="22" customFormat="false" ht="15" hidden="false" customHeight="true" outlineLevel="0" collapsed="false">
      <c r="B22" s="6"/>
      <c r="K22" s="6"/>
    </row>
    <row r="23" customFormat="false" ht="21.75" hidden="false" customHeight="true" outlineLevel="0" collapsed="false">
      <c r="B23" s="575" t="s">
        <v>4071</v>
      </c>
      <c r="C23" s="575"/>
      <c r="D23" s="575"/>
      <c r="E23" s="575"/>
      <c r="F23" s="575"/>
      <c r="G23" s="575"/>
      <c r="H23" s="575"/>
      <c r="I23" s="575"/>
      <c r="J23" s="575"/>
      <c r="K23" s="575"/>
    </row>
    <row r="24" customFormat="false" ht="15" hidden="false" customHeight="true" outlineLevel="0" collapsed="false">
      <c r="B24" s="1164" t="s">
        <v>4072</v>
      </c>
      <c r="C24" s="387" t="n">
        <f aca="false">C11</f>
        <v>1276056</v>
      </c>
      <c r="D24" s="387" t="n">
        <f aca="false">C24+D11</f>
        <v>2754685.89</v>
      </c>
      <c r="E24" s="387" t="n">
        <f aca="false">D24+E11</f>
        <v>4446895.653</v>
      </c>
      <c r="F24" s="387" t="n">
        <f aca="false">E24+F11</f>
        <v>6189871.70889</v>
      </c>
      <c r="G24" s="387" t="n">
        <f aca="false">F24+G11</f>
        <v>7985137.0464567</v>
      </c>
      <c r="H24" s="387" t="n">
        <f aca="false">G24+H11</f>
        <v>9926716.50903509</v>
      </c>
      <c r="I24" s="387" t="n">
        <f aca="false">H24+I11</f>
        <v>11926543.3554908</v>
      </c>
      <c r="J24" s="387" t="n">
        <f aca="false">I24+J11</f>
        <v>13986365.0073402</v>
      </c>
      <c r="K24" s="6"/>
    </row>
    <row r="25" customFormat="false" ht="15" hidden="false" customHeight="true" outlineLevel="0" collapsed="false">
      <c r="B25" s="1164" t="s">
        <v>4073</v>
      </c>
      <c r="C25" s="387" t="n">
        <f aca="false">C20</f>
        <v>789508.4</v>
      </c>
      <c r="D25" s="387" t="n">
        <f aca="false">C25+D20</f>
        <v>1753359.946</v>
      </c>
      <c r="E25" s="387" t="n">
        <f aca="false">D25+E20</f>
        <v>2901304.6692</v>
      </c>
      <c r="F25" s="387" t="n">
        <f aca="false">E25+F20</f>
        <v>4083687.734096</v>
      </c>
      <c r="G25" s="387" t="n">
        <f aca="false">F25+G20</f>
        <v>5301542.29093888</v>
      </c>
      <c r="H25" s="387" t="n">
        <f aca="false">G25+H20</f>
        <v>6640715.87798357</v>
      </c>
      <c r="I25" s="387" t="n">
        <f aca="false">H25+I20</f>
        <v>8020064.6726396</v>
      </c>
      <c r="J25" s="387" t="n">
        <f aca="false">I25+J20</f>
        <v>9440793.93113531</v>
      </c>
      <c r="K25" s="6"/>
    </row>
    <row r="26" customFormat="false" ht="15" hidden="false" customHeight="true" outlineLevel="0" collapsed="false">
      <c r="B26" s="6"/>
      <c r="K26" s="6"/>
    </row>
    <row r="27" customFormat="false" ht="15" hidden="false" customHeight="true" outlineLevel="0" collapsed="false">
      <c r="B27" s="6"/>
      <c r="K27" s="6"/>
    </row>
    <row r="28" customFormat="false" ht="21.75" hidden="false" customHeight="true" outlineLevel="0" collapsed="false">
      <c r="B28" s="125" t="s">
        <v>5926</v>
      </c>
      <c r="C28" s="125"/>
      <c r="D28" s="125"/>
      <c r="E28" s="125"/>
      <c r="F28" s="125"/>
      <c r="G28" s="125"/>
      <c r="H28" s="125"/>
      <c r="I28" s="125"/>
      <c r="J28" s="125"/>
      <c r="K28" s="125"/>
    </row>
    <row r="29" customFormat="false" ht="21.75" hidden="false" customHeight="true" outlineLevel="0" collapsed="false">
      <c r="B29" s="97" t="s">
        <v>206</v>
      </c>
      <c r="C29" s="98" t="s">
        <v>393</v>
      </c>
      <c r="D29" s="98" t="s">
        <v>778</v>
      </c>
      <c r="K29" s="6"/>
    </row>
    <row r="30" customFormat="false" ht="15" hidden="false" customHeight="true" outlineLevel="0" collapsed="false">
      <c r="B30" s="113" t="s">
        <v>4075</v>
      </c>
      <c r="C30" s="544" t="n">
        <f aca="false">C11</f>
        <v>1276056</v>
      </c>
      <c r="D30" s="634" t="s">
        <v>5927</v>
      </c>
      <c r="K30" s="6"/>
    </row>
    <row r="31" customFormat="false" ht="15" hidden="false" customHeight="true" outlineLevel="0" collapsed="false">
      <c r="B31" s="113" t="s">
        <v>4077</v>
      </c>
      <c r="C31" s="544" t="n">
        <f aca="false">J11</f>
        <v>2059821.65184941</v>
      </c>
      <c r="D31" s="634" t="s">
        <v>5928</v>
      </c>
      <c r="K31" s="6"/>
    </row>
    <row r="32" customFormat="false" ht="15" hidden="false" customHeight="true" outlineLevel="0" collapsed="false">
      <c r="B32" s="113" t="s">
        <v>3460</v>
      </c>
      <c r="C32" s="544" t="n">
        <f aca="false">K11</f>
        <v>13986365.0073402</v>
      </c>
      <c r="D32" s="634" t="s">
        <v>4079</v>
      </c>
      <c r="K32" s="6"/>
    </row>
    <row r="33" customFormat="false" ht="15" hidden="false" customHeight="true" outlineLevel="0" collapsed="false">
      <c r="B33" s="113" t="s">
        <v>5929</v>
      </c>
      <c r="C33" s="544" t="n">
        <f aca="false">K20</f>
        <v>9440793.93113531</v>
      </c>
      <c r="D33" s="634" t="s">
        <v>4081</v>
      </c>
      <c r="K33" s="6"/>
    </row>
    <row r="34" customFormat="false" ht="15" hidden="false" customHeight="true" outlineLevel="0" collapsed="false">
      <c r="B34" s="113" t="s">
        <v>5930</v>
      </c>
      <c r="C34" s="1288" t="n">
        <f aca="false">K20/K11</f>
        <v>0.674999824913811</v>
      </c>
      <c r="D34" s="634" t="s">
        <v>4083</v>
      </c>
      <c r="K34" s="6"/>
    </row>
    <row r="35" customFormat="false" ht="15" hidden="false" customHeight="true" outlineLevel="0" collapsed="false">
      <c r="B35" s="113" t="s">
        <v>4084</v>
      </c>
      <c r="C35" s="1288" t="n">
        <f aca="false">(J11/C11)^(1/7)-1</f>
        <v>0.0708004745979443</v>
      </c>
      <c r="D35" s="634" t="s">
        <v>4085</v>
      </c>
      <c r="K35" s="6"/>
    </row>
  </sheetData>
  <mergeCells count="8">
    <mergeCell ref="B2:G2"/>
    <mergeCell ref="H2:K2"/>
    <mergeCell ref="B3:K3"/>
    <mergeCell ref="B9:K9"/>
    <mergeCell ref="B14:K14"/>
    <mergeCell ref="B19:K19"/>
    <mergeCell ref="B23:K23"/>
    <mergeCell ref="B28:K28"/>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2"/>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15" t="s">
        <v>5931</v>
      </c>
      <c r="C2" s="15"/>
      <c r="D2" s="15"/>
      <c r="E2" s="15"/>
      <c r="F2" s="15"/>
      <c r="G2" s="15"/>
      <c r="H2" s="89" t="s">
        <v>995</v>
      </c>
      <c r="I2" s="89"/>
      <c r="J2" s="89"/>
      <c r="K2" s="89"/>
    </row>
    <row r="3" customFormat="false" ht="33.75" hidden="false" customHeight="true" outlineLevel="0" collapsed="false">
      <c r="B3" s="90" t="s">
        <v>5932</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575" t="s">
        <v>4061</v>
      </c>
      <c r="C6" s="575"/>
      <c r="D6" s="575"/>
      <c r="E6" s="575"/>
      <c r="F6" s="575"/>
      <c r="G6" s="575"/>
      <c r="H6" s="575"/>
      <c r="I6" s="575"/>
      <c r="J6" s="575"/>
      <c r="K6" s="575"/>
    </row>
    <row r="7" customFormat="false" ht="15" hidden="false" customHeight="true" outlineLevel="0" collapsed="false">
      <c r="B7" s="81" t="s">
        <v>207</v>
      </c>
      <c r="C7" s="406" t="n">
        <f aca="false">'Academy · 8-Year'!C11</f>
        <v>1276056</v>
      </c>
      <c r="D7" s="406" t="n">
        <f aca="false">'Academy · 8-Year'!D11</f>
        <v>1478629.89</v>
      </c>
      <c r="E7" s="406" t="n">
        <f aca="false">'Academy · 8-Year'!E11</f>
        <v>1692209.763</v>
      </c>
      <c r="F7" s="406" t="n">
        <f aca="false">'Academy · 8-Year'!F11</f>
        <v>1742976.05589</v>
      </c>
      <c r="G7" s="406" t="n">
        <f aca="false">'Academy · 8-Year'!G11</f>
        <v>1795265.3375667</v>
      </c>
      <c r="H7" s="406" t="n">
        <f aca="false">'Academy · 8-Year'!H11</f>
        <v>1941579.46257839</v>
      </c>
      <c r="I7" s="406" t="n">
        <f aca="false">'Academy · 8-Year'!I11</f>
        <v>1999826.84645574</v>
      </c>
      <c r="J7" s="406" t="n">
        <f aca="false">'Academy · 8-Year'!J11</f>
        <v>2059821.65184941</v>
      </c>
      <c r="K7" s="546" t="n">
        <f aca="false">SUM(C7:J7)</f>
        <v>13986365.0073402</v>
      </c>
    </row>
    <row r="8" customFormat="false" ht="15" hidden="false" customHeight="true" outlineLevel="0" collapsed="false">
      <c r="B8" s="6"/>
      <c r="K8" s="6"/>
    </row>
    <row r="9" customFormat="false" ht="21.75" hidden="false" customHeight="true" outlineLevel="0" collapsed="false">
      <c r="B9" s="123" t="s">
        <v>4091</v>
      </c>
      <c r="C9" s="123"/>
      <c r="D9" s="123"/>
      <c r="E9" s="123"/>
      <c r="F9" s="123"/>
      <c r="G9" s="123"/>
      <c r="H9" s="123"/>
      <c r="I9" s="123"/>
      <c r="J9" s="123"/>
      <c r="K9" s="123"/>
    </row>
    <row r="10" customFormat="false" ht="15" hidden="false" customHeight="true" outlineLevel="0" collapsed="false">
      <c r="B10" s="113" t="s">
        <v>4092</v>
      </c>
      <c r="C10" s="360" t="n">
        <f aca="false">-'Academy · 8-Year'!C17</f>
        <v>-486547.6</v>
      </c>
      <c r="D10" s="360" t="n">
        <f aca="false">-'Academy · 8-Year'!D17</f>
        <v>-514778.344</v>
      </c>
      <c r="E10" s="360" t="n">
        <f aca="false">-'Academy · 8-Year'!E17</f>
        <v>-544265.0398</v>
      </c>
      <c r="F10" s="360" t="n">
        <f aca="false">-'Academy · 8-Year'!F17</f>
        <v>-560592.990994</v>
      </c>
      <c r="G10" s="360" t="n">
        <f aca="false">-'Academy · 8-Year'!G17</f>
        <v>-577410.78072382</v>
      </c>
      <c r="H10" s="360" t="n">
        <f aca="false">-'Academy · 8-Year'!H17</f>
        <v>-602405.875533697</v>
      </c>
      <c r="I10" s="360" t="n">
        <f aca="false">-'Academy · 8-Year'!I17</f>
        <v>-620478.051799708</v>
      </c>
      <c r="J10" s="360" t="n">
        <f aca="false">-'Academy · 8-Year'!J17</f>
        <v>-639092.393353699</v>
      </c>
      <c r="K10" s="1384" t="n">
        <f aca="false">SUM(C10:J10)</f>
        <v>-4545571.07620492</v>
      </c>
    </row>
    <row r="11" customFormat="false" ht="15" hidden="false" customHeight="true" outlineLevel="0" collapsed="false">
      <c r="B11" s="6"/>
      <c r="K11" s="6"/>
    </row>
    <row r="12" customFormat="false" ht="21.75" hidden="false" customHeight="true" outlineLevel="0" collapsed="false">
      <c r="B12" s="72" t="s">
        <v>4093</v>
      </c>
      <c r="C12" s="72"/>
      <c r="D12" s="72"/>
      <c r="E12" s="72"/>
      <c r="F12" s="72"/>
      <c r="G12" s="72"/>
      <c r="H12" s="72"/>
      <c r="I12" s="72"/>
      <c r="J12" s="72"/>
      <c r="K12" s="72"/>
    </row>
    <row r="13" customFormat="false" ht="15" hidden="false" customHeight="true" outlineLevel="0" collapsed="false">
      <c r="B13" s="81" t="s">
        <v>4094</v>
      </c>
      <c r="C13" s="577" t="n">
        <f aca="false">C7+C10</f>
        <v>789508.4</v>
      </c>
      <c r="D13" s="577" t="n">
        <f aca="false">D7+D10</f>
        <v>963851.546</v>
      </c>
      <c r="E13" s="577" t="n">
        <f aca="false">E7+E10</f>
        <v>1147944.7232</v>
      </c>
      <c r="F13" s="577" t="n">
        <f aca="false">F7+F10</f>
        <v>1182383.064896</v>
      </c>
      <c r="G13" s="577" t="n">
        <f aca="false">G7+G10</f>
        <v>1217854.55684288</v>
      </c>
      <c r="H13" s="577" t="n">
        <f aca="false">H7+H10</f>
        <v>1339173.58704469</v>
      </c>
      <c r="I13" s="577" t="n">
        <f aca="false">I7+I10</f>
        <v>1379348.79465603</v>
      </c>
      <c r="J13" s="577" t="n">
        <f aca="false">J7+J10</f>
        <v>1420729.25849571</v>
      </c>
      <c r="K13" s="1383" t="n">
        <f aca="false">SUM(C13:J13)</f>
        <v>9440793.93113531</v>
      </c>
    </row>
    <row r="14" customFormat="false" ht="15" hidden="false" customHeight="true" outlineLevel="0" collapsed="false">
      <c r="B14" s="1382" t="s">
        <v>4095</v>
      </c>
      <c r="C14" s="593" t="n">
        <f aca="false">C13/C7</f>
        <v>0.618709837185829</v>
      </c>
      <c r="D14" s="593" t="n">
        <f aca="false">D13/D7</f>
        <v>0.651854498896949</v>
      </c>
      <c r="E14" s="593" t="n">
        <f aca="false">E13/E7</f>
        <v>0.678370228265844</v>
      </c>
      <c r="F14" s="593" t="n">
        <f aca="false">F13/F7</f>
        <v>0.678370228265844</v>
      </c>
      <c r="G14" s="593" t="n">
        <f aca="false">G13/G7</f>
        <v>0.678370228265844</v>
      </c>
      <c r="H14" s="593" t="n">
        <f aca="false">H13/H7</f>
        <v>0.689734112281085</v>
      </c>
      <c r="I14" s="593" t="n">
        <f aca="false">I13/I7</f>
        <v>0.689734112281085</v>
      </c>
      <c r="J14" s="593" t="n">
        <f aca="false">J13/J7</f>
        <v>0.689734112281085</v>
      </c>
      <c r="K14" s="6"/>
    </row>
    <row r="15" customFormat="false" ht="15" hidden="false" customHeight="true" outlineLevel="0" collapsed="false">
      <c r="B15" s="6"/>
      <c r="K15" s="6"/>
    </row>
    <row r="16" customFormat="false" ht="15" hidden="false" customHeight="true" outlineLevel="0" collapsed="false">
      <c r="B16" s="592" t="s">
        <v>4096</v>
      </c>
      <c r="D16" s="593" t="n">
        <f aca="false">D7/C7-1</f>
        <v>0.15875</v>
      </c>
      <c r="E16" s="593" t="n">
        <f aca="false">E7/D7-1</f>
        <v>0.144444444444444</v>
      </c>
      <c r="F16" s="593" t="n">
        <f aca="false">F7/E7-1</f>
        <v>0.03</v>
      </c>
      <c r="G16" s="593" t="n">
        <f aca="false">G7/F7-1</f>
        <v>0.0300000000000003</v>
      </c>
      <c r="H16" s="593" t="n">
        <f aca="false">H7/G7-1</f>
        <v>0.0814999999999999</v>
      </c>
      <c r="I16" s="593" t="n">
        <f aca="false">I7/H7-1</f>
        <v>0.0300000000000003</v>
      </c>
      <c r="J16" s="593" t="n">
        <f aca="false">J7/I7-1</f>
        <v>0.03</v>
      </c>
      <c r="K16" s="6"/>
    </row>
    <row r="17" customFormat="false" ht="15" hidden="false" customHeight="true" outlineLevel="0" collapsed="false">
      <c r="B17" s="6"/>
      <c r="K17" s="6"/>
    </row>
    <row r="18" customFormat="false" ht="15" hidden="false" customHeight="true" outlineLevel="0" collapsed="false">
      <c r="B18" s="6"/>
      <c r="K18" s="6"/>
    </row>
    <row r="19" customFormat="false" ht="21.75" hidden="false" customHeight="true" outlineLevel="0" collapsed="false">
      <c r="B19" s="575" t="s">
        <v>4097</v>
      </c>
      <c r="C19" s="575"/>
      <c r="D19" s="575"/>
      <c r="E19" s="575"/>
      <c r="F19" s="575"/>
      <c r="G19" s="575"/>
      <c r="H19" s="575"/>
      <c r="I19" s="575"/>
      <c r="J19" s="575"/>
      <c r="K19" s="575"/>
    </row>
    <row r="20" customFormat="false" ht="21.75" hidden="false" customHeight="true" outlineLevel="0" collapsed="false">
      <c r="B20" s="97" t="s">
        <v>206</v>
      </c>
      <c r="C20" s="98" t="s">
        <v>393</v>
      </c>
      <c r="D20" s="98" t="s">
        <v>86</v>
      </c>
      <c r="K20" s="6"/>
    </row>
    <row r="21" customFormat="false" ht="15" hidden="false" customHeight="true" outlineLevel="0" collapsed="false">
      <c r="B21" s="113" t="s">
        <v>3457</v>
      </c>
      <c r="C21" s="544" t="n">
        <f aca="false">C7</f>
        <v>1276056</v>
      </c>
      <c r="D21" s="634" t="s">
        <v>5933</v>
      </c>
      <c r="K21" s="6"/>
    </row>
    <row r="22" customFormat="false" ht="15" hidden="false" customHeight="true" outlineLevel="0" collapsed="false">
      <c r="B22" s="113" t="s">
        <v>3458</v>
      </c>
      <c r="C22" s="544" t="n">
        <f aca="false">F7</f>
        <v>1742976.05589</v>
      </c>
      <c r="D22" s="634" t="s">
        <v>4099</v>
      </c>
      <c r="K22" s="6"/>
    </row>
    <row r="23" customFormat="false" ht="15" hidden="false" customHeight="true" outlineLevel="0" collapsed="false">
      <c r="B23" s="113" t="s">
        <v>4100</v>
      </c>
      <c r="C23" s="544" t="n">
        <f aca="false">J7</f>
        <v>2059821.65184941</v>
      </c>
      <c r="D23" s="634" t="s">
        <v>4101</v>
      </c>
      <c r="K23" s="6"/>
    </row>
    <row r="24" customFormat="false" ht="15" hidden="false" customHeight="true" outlineLevel="0" collapsed="false">
      <c r="B24" s="113" t="s">
        <v>3460</v>
      </c>
      <c r="C24" s="544" t="n">
        <f aca="false">K7</f>
        <v>13986365.0073402</v>
      </c>
      <c r="D24" s="634" t="s">
        <v>4102</v>
      </c>
      <c r="K24" s="6"/>
    </row>
    <row r="25" customFormat="false" ht="15" hidden="false" customHeight="true" outlineLevel="0" collapsed="false">
      <c r="B25" s="113" t="s">
        <v>3461</v>
      </c>
      <c r="C25" s="544" t="n">
        <f aca="false">K13</f>
        <v>9440793.93113531</v>
      </c>
      <c r="D25" s="634" t="s">
        <v>4103</v>
      </c>
      <c r="K25" s="6"/>
    </row>
    <row r="26" customFormat="false" ht="15" hidden="false" customHeight="true" outlineLevel="0" collapsed="false">
      <c r="B26" s="113" t="s">
        <v>4104</v>
      </c>
      <c r="C26" s="1288" t="n">
        <f aca="false">K13/K7</f>
        <v>0.674999824913811</v>
      </c>
      <c r="D26" s="634" t="s">
        <v>4105</v>
      </c>
      <c r="K26" s="6"/>
    </row>
    <row r="27" customFormat="false" ht="15" hidden="false" customHeight="true" outlineLevel="0" collapsed="false">
      <c r="B27" s="113" t="s">
        <v>4106</v>
      </c>
      <c r="C27" s="1288" t="n">
        <f aca="false">(J7/C7)^(1/7)-1</f>
        <v>0.0708004745979443</v>
      </c>
      <c r="D27" s="634" t="s">
        <v>4107</v>
      </c>
      <c r="K27" s="6"/>
    </row>
    <row r="28" customFormat="false" ht="15" hidden="false" customHeight="true" outlineLevel="0" collapsed="false">
      <c r="B28" s="6"/>
      <c r="K28" s="6"/>
    </row>
    <row r="29" customFormat="false" ht="15" hidden="false" customHeight="true" outlineLevel="0" collapsed="false">
      <c r="B29" s="6"/>
      <c r="K29" s="6"/>
    </row>
    <row r="30" customFormat="false" ht="21.75" hidden="false" customHeight="true" outlineLevel="0" collapsed="false">
      <c r="B30" s="304" t="s">
        <v>5934</v>
      </c>
      <c r="C30" s="304"/>
      <c r="D30" s="304"/>
      <c r="E30" s="304"/>
      <c r="F30" s="304"/>
      <c r="G30" s="304"/>
      <c r="H30" s="304"/>
      <c r="I30" s="304"/>
      <c r="J30" s="304"/>
      <c r="K30" s="304"/>
    </row>
    <row r="31" customFormat="false" ht="120" hidden="false" customHeight="true" outlineLevel="0" collapsed="false">
      <c r="B31" s="1385" t="s">
        <v>5935</v>
      </c>
      <c r="C31" s="1385"/>
      <c r="D31" s="1385"/>
      <c r="E31" s="1385"/>
      <c r="F31" s="1385"/>
      <c r="G31" s="1385"/>
      <c r="H31" s="1385"/>
      <c r="I31" s="1385"/>
      <c r="J31" s="1385"/>
      <c r="K31" s="1385"/>
    </row>
    <row r="32" customFormat="false" ht="15" hidden="false" customHeight="true" outlineLevel="0" collapsed="false">
      <c r="B32" s="1385"/>
      <c r="C32" s="1385"/>
      <c r="D32" s="1385"/>
      <c r="E32" s="1385"/>
      <c r="F32" s="1385"/>
      <c r="G32" s="1385"/>
      <c r="H32" s="1385"/>
      <c r="I32" s="1385"/>
      <c r="J32" s="1385"/>
      <c r="K32" s="1385"/>
    </row>
    <row r="33" customFormat="false" ht="15" hidden="false" customHeight="true" outlineLevel="0" collapsed="false">
      <c r="B33" s="1385"/>
      <c r="C33" s="1385"/>
      <c r="D33" s="1385"/>
      <c r="E33" s="1385"/>
      <c r="F33" s="1385"/>
      <c r="G33" s="1385"/>
      <c r="H33" s="1385"/>
      <c r="I33" s="1385"/>
      <c r="J33" s="1385"/>
      <c r="K33" s="1385"/>
    </row>
  </sheetData>
  <mergeCells count="9">
    <mergeCell ref="B2:G2"/>
    <mergeCell ref="H2:K2"/>
    <mergeCell ref="B3:K3"/>
    <mergeCell ref="B6:K6"/>
    <mergeCell ref="B9:K9"/>
    <mergeCell ref="B12:K12"/>
    <mergeCell ref="B19:K19"/>
    <mergeCell ref="B30:K30"/>
    <mergeCell ref="B31:K33"/>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K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11" min="3" style="0" width="11"/>
  </cols>
  <sheetData>
    <row r="1" customFormat="false" ht="3.75" hidden="false" customHeight="true" outlineLevel="0" collapsed="false">
      <c r="B1" s="1"/>
      <c r="C1" s="2"/>
      <c r="D1" s="2"/>
      <c r="E1" s="2"/>
      <c r="F1" s="2"/>
      <c r="G1" s="2"/>
      <c r="H1" s="2"/>
      <c r="I1" s="2"/>
      <c r="J1" s="2"/>
      <c r="K1" s="1"/>
    </row>
    <row r="2" customFormat="false" ht="27.75" hidden="false" customHeight="true" outlineLevel="0" collapsed="false">
      <c r="B2" s="88" t="s">
        <v>5936</v>
      </c>
      <c r="C2" s="88"/>
      <c r="D2" s="88"/>
      <c r="E2" s="88"/>
      <c r="F2" s="88"/>
      <c r="G2" s="88"/>
      <c r="H2" s="89" t="s">
        <v>995</v>
      </c>
      <c r="I2" s="89"/>
      <c r="J2" s="89"/>
      <c r="K2" s="89"/>
    </row>
    <row r="3" customFormat="false" ht="33.75" hidden="false" customHeight="true" outlineLevel="0" collapsed="false">
      <c r="B3" s="90" t="s">
        <v>5937</v>
      </c>
      <c r="C3" s="90"/>
      <c r="D3" s="90"/>
      <c r="E3" s="90"/>
      <c r="F3" s="90"/>
      <c r="G3" s="90"/>
      <c r="H3" s="90"/>
      <c r="I3" s="90"/>
      <c r="J3" s="90"/>
      <c r="K3" s="90"/>
    </row>
    <row r="4" customFormat="false" ht="15" hidden="false" customHeight="true" outlineLevel="0" collapsed="false">
      <c r="B4" s="6"/>
      <c r="K4" s="6"/>
    </row>
    <row r="5" customFormat="false" ht="21.75" hidden="false" customHeight="true" outlineLevel="0" collapsed="false">
      <c r="B5" s="97" t="s">
        <v>1141</v>
      </c>
      <c r="C5" s="98" t="s">
        <v>760</v>
      </c>
      <c r="D5" s="98" t="s">
        <v>908</v>
      </c>
      <c r="E5" s="98" t="s">
        <v>765</v>
      </c>
      <c r="F5" s="98" t="s">
        <v>770</v>
      </c>
      <c r="G5" s="98" t="s">
        <v>909</v>
      </c>
      <c r="H5" s="98" t="s">
        <v>910</v>
      </c>
      <c r="I5" s="98" t="s">
        <v>911</v>
      </c>
      <c r="J5" s="98" t="s">
        <v>912</v>
      </c>
      <c r="K5" s="99" t="s">
        <v>4088</v>
      </c>
    </row>
    <row r="6" customFormat="false" ht="21.75" hidden="false" customHeight="true" outlineLevel="0" collapsed="false">
      <c r="B6" s="96" t="s">
        <v>4996</v>
      </c>
      <c r="C6" s="96"/>
      <c r="D6" s="96"/>
      <c r="E6" s="96"/>
      <c r="F6" s="96"/>
      <c r="G6" s="96"/>
      <c r="H6" s="96"/>
      <c r="I6" s="96"/>
      <c r="J6" s="96"/>
      <c r="K6" s="96"/>
    </row>
    <row r="7" customFormat="false" ht="15" hidden="false" customHeight="true" outlineLevel="0" collapsed="false">
      <c r="B7" s="81" t="s">
        <v>903</v>
      </c>
      <c r="C7" s="385" t="n">
        <f aca="false">'Academy · 8-Year'!C11</f>
        <v>1276056</v>
      </c>
      <c r="D7" s="385" t="n">
        <f aca="false">'Academy · 8-Year'!D11</f>
        <v>1478629.89</v>
      </c>
      <c r="E7" s="385" t="n">
        <f aca="false">'Academy · 8-Year'!E11</f>
        <v>1692209.763</v>
      </c>
      <c r="F7" s="385" t="n">
        <f aca="false">'Academy · 8-Year'!F11</f>
        <v>1742976.05589</v>
      </c>
      <c r="G7" s="385" t="n">
        <f aca="false">'Academy · 8-Year'!G11</f>
        <v>1795265.3375667</v>
      </c>
      <c r="H7" s="385" t="n">
        <f aca="false">'Academy · 8-Year'!H11</f>
        <v>1941579.46257839</v>
      </c>
      <c r="I7" s="385" t="n">
        <f aca="false">'Academy · 8-Year'!I11</f>
        <v>1999826.84645574</v>
      </c>
      <c r="J7" s="385" t="n">
        <f aca="false">'Academy · 8-Year'!J11</f>
        <v>2059821.65184941</v>
      </c>
      <c r="K7" s="1386" t="n">
        <f aca="false">SUM(C7:J7)</f>
        <v>13986365.0073402</v>
      </c>
    </row>
    <row r="8" customFormat="false" ht="15" hidden="false" customHeight="true" outlineLevel="0" collapsed="false">
      <c r="B8" s="81" t="s">
        <v>4112</v>
      </c>
      <c r="C8" s="1294" t="n">
        <f aca="false">'Academy · 8-Year'!C20</f>
        <v>789508.4</v>
      </c>
      <c r="D8" s="1294" t="n">
        <f aca="false">'Academy · 8-Year'!D20</f>
        <v>963851.546</v>
      </c>
      <c r="E8" s="1294" t="n">
        <f aca="false">'Academy · 8-Year'!E20</f>
        <v>1147944.7232</v>
      </c>
      <c r="F8" s="1294" t="n">
        <f aca="false">'Academy · 8-Year'!F20</f>
        <v>1182383.064896</v>
      </c>
      <c r="G8" s="1294" t="n">
        <f aca="false">'Academy · 8-Year'!G20</f>
        <v>1217854.55684288</v>
      </c>
      <c r="H8" s="1294" t="n">
        <f aca="false">'Academy · 8-Year'!H20</f>
        <v>1339173.58704469</v>
      </c>
      <c r="I8" s="1294" t="n">
        <f aca="false">'Academy · 8-Year'!I20</f>
        <v>1379348.79465603</v>
      </c>
      <c r="J8" s="1294" t="n">
        <f aca="false">'Academy · 8-Year'!J20</f>
        <v>1420729.25849571</v>
      </c>
      <c r="K8" s="1387" t="n">
        <f aca="false">SUM(C8:J8)</f>
        <v>9440793.93113531</v>
      </c>
    </row>
    <row r="9" customFormat="false" ht="15" hidden="false" customHeight="true" outlineLevel="0" collapsed="false">
      <c r="B9" s="6"/>
      <c r="K9" s="6"/>
    </row>
    <row r="10" customFormat="false" ht="21.75" hidden="false" customHeight="true" outlineLevel="0" collapsed="false">
      <c r="B10" s="96" t="s">
        <v>4113</v>
      </c>
      <c r="C10" s="96"/>
      <c r="D10" s="96"/>
      <c r="E10" s="96"/>
      <c r="F10" s="96"/>
      <c r="G10" s="96"/>
      <c r="H10" s="96"/>
      <c r="I10" s="96"/>
      <c r="J10" s="96"/>
      <c r="K10" s="96"/>
    </row>
    <row r="11" customFormat="false" ht="15" hidden="false" customHeight="true" outlineLevel="0" collapsed="false">
      <c r="B11" s="113" t="s">
        <v>3764</v>
      </c>
      <c r="C11" s="1388" t="n">
        <v>0.005</v>
      </c>
      <c r="K11" s="6"/>
    </row>
    <row r="12" customFormat="false" ht="15" hidden="false" customHeight="true" outlineLevel="0" collapsed="false">
      <c r="B12" s="113" t="s">
        <v>3766</v>
      </c>
      <c r="C12" s="1389" t="n">
        <v>30</v>
      </c>
      <c r="K12" s="6"/>
    </row>
    <row r="13" customFormat="false" ht="15" hidden="false" customHeight="true" outlineLevel="0" collapsed="false">
      <c r="B13" s="113" t="s">
        <v>3768</v>
      </c>
      <c r="C13" s="1389" t="n">
        <v>15</v>
      </c>
      <c r="K13" s="6"/>
    </row>
    <row r="14" customFormat="false" ht="15" hidden="false" customHeight="true" outlineLevel="0" collapsed="false">
      <c r="B14" s="6"/>
      <c r="K14" s="6"/>
    </row>
    <row r="15" customFormat="false" ht="15" hidden="false" customHeight="true" outlineLevel="0" collapsed="false">
      <c r="B15" s="1164" t="s">
        <v>4114</v>
      </c>
      <c r="C15" s="387" t="n">
        <f aca="false">C7*$C$11</f>
        <v>6380.28</v>
      </c>
      <c r="D15" s="387" t="n">
        <f aca="false">D7*$C$11</f>
        <v>7393.14945</v>
      </c>
      <c r="E15" s="387" t="n">
        <f aca="false">E7*$C$11</f>
        <v>8461.048815</v>
      </c>
      <c r="F15" s="387" t="n">
        <f aca="false">F7*$C$11</f>
        <v>8714.88027945</v>
      </c>
      <c r="G15" s="387" t="n">
        <f aca="false">G7*$C$11</f>
        <v>8976.3266878335</v>
      </c>
      <c r="H15" s="387" t="n">
        <f aca="false">H7*$C$11</f>
        <v>9707.89731289193</v>
      </c>
      <c r="I15" s="387" t="n">
        <f aca="false">I7*$C$11</f>
        <v>9999.13423227869</v>
      </c>
      <c r="J15" s="387" t="n">
        <f aca="false">J7*$C$11</f>
        <v>10299.1082592471</v>
      </c>
      <c r="K15" s="6"/>
    </row>
    <row r="16" customFormat="false" ht="15" hidden="false" customHeight="true" outlineLevel="0" collapsed="false">
      <c r="B16" s="1164" t="s">
        <v>4115</v>
      </c>
      <c r="C16" s="387" t="n">
        <f aca="false">C7/365*$C$12</f>
        <v>104881.315068493</v>
      </c>
      <c r="D16" s="387" t="n">
        <f aca="false">D7/365*$C$12</f>
        <v>121531.223835616</v>
      </c>
      <c r="E16" s="387" t="n">
        <f aca="false">E7/365*$C$12</f>
        <v>139085.733945206</v>
      </c>
      <c r="F16" s="387" t="n">
        <f aca="false">F7/365*$C$12</f>
        <v>143258.305963562</v>
      </c>
      <c r="G16" s="387" t="n">
        <f aca="false">G7/365*$C$12</f>
        <v>147556.055142469</v>
      </c>
      <c r="H16" s="387" t="n">
        <f aca="false">H7/365*$C$12</f>
        <v>159581.87363658</v>
      </c>
      <c r="I16" s="387" t="n">
        <f aca="false">I7/365*$C$12</f>
        <v>164369.329845677</v>
      </c>
      <c r="J16" s="387" t="n">
        <f aca="false">J7/365*$C$12</f>
        <v>169300.409741047</v>
      </c>
      <c r="K16" s="6"/>
    </row>
    <row r="17" customFormat="false" ht="15" hidden="false" customHeight="true" outlineLevel="0" collapsed="false">
      <c r="B17" s="1164" t="s">
        <v>4116</v>
      </c>
      <c r="C17" s="387" t="n">
        <f aca="false">C7*('Academy · Costs'!C24/'Academy · Revenue'!E17)/365*$C$13</f>
        <v>16866.4767123288</v>
      </c>
      <c r="D17" s="387" t="n">
        <f aca="false">D7*('Academy · Costs'!C24/'Academy · Revenue'!E17)/365*$C$13</f>
        <v>19544.029890411</v>
      </c>
      <c r="E17" s="387" t="n">
        <f aca="false">E7*('Academy · Costs'!C24/'Academy · Revenue'!E17)/365*$C$13</f>
        <v>22367.056430137</v>
      </c>
      <c r="F17" s="387" t="n">
        <f aca="false">F7*('Academy · Costs'!C24/'Academy · Revenue'!E17)/365*$C$13</f>
        <v>23038.0681230411</v>
      </c>
      <c r="G17" s="387" t="n">
        <f aca="false">G7*('Academy · Costs'!C24/'Academy · Revenue'!E17)/365*$C$13</f>
        <v>23729.2101667323</v>
      </c>
      <c r="H17" s="387" t="n">
        <f aca="false">H7*('Academy · Costs'!C24/'Academy · Revenue'!E17)/365*$C$13</f>
        <v>25663.140795321</v>
      </c>
      <c r="I17" s="387" t="n">
        <f aca="false">I7*('Academy · Costs'!C24/'Academy · Revenue'!E17)/365*$C$13</f>
        <v>26433.0350191806</v>
      </c>
      <c r="J17" s="387" t="n">
        <f aca="false">J7*('Academy · Costs'!C24/'Academy · Revenue'!E17)/365*$C$13</f>
        <v>27226.0260697561</v>
      </c>
      <c r="K17" s="6"/>
    </row>
    <row r="18" customFormat="false" ht="15" hidden="false" customHeight="true" outlineLevel="0" collapsed="false">
      <c r="B18" s="113" t="s">
        <v>4117</v>
      </c>
      <c r="C18" s="385" t="n">
        <f aca="false">C15+C16-C17</f>
        <v>94395.1183561644</v>
      </c>
      <c r="D18" s="385" t="n">
        <f aca="false">D15+D16-D17</f>
        <v>109380.343395205</v>
      </c>
      <c r="E18" s="385" t="n">
        <f aca="false">E15+E16-E17</f>
        <v>125179.726330068</v>
      </c>
      <c r="F18" s="385" t="n">
        <f aca="false">F15+F16-F17</f>
        <v>128935.118119971</v>
      </c>
      <c r="G18" s="385" t="n">
        <f aca="false">G15+G16-G17</f>
        <v>132803.17166357</v>
      </c>
      <c r="H18" s="385" t="n">
        <f aca="false">H15+H16-H17</f>
        <v>143626.630154151</v>
      </c>
      <c r="I18" s="385" t="n">
        <f aca="false">I15+I16-I17</f>
        <v>147935.429058775</v>
      </c>
      <c r="J18" s="385" t="n">
        <f aca="false">J15+J16-J17</f>
        <v>152373.491930538</v>
      </c>
      <c r="K18" s="6"/>
    </row>
    <row r="19" customFormat="false" ht="15" hidden="false" customHeight="true" outlineLevel="0" collapsed="false">
      <c r="B19" s="1267" t="s">
        <v>4118</v>
      </c>
      <c r="C19" s="1292" t="n">
        <f aca="false">C18</f>
        <v>94395.1183561644</v>
      </c>
      <c r="D19" s="1292" t="n">
        <f aca="false">D18-C18</f>
        <v>14985.2250390411</v>
      </c>
      <c r="E19" s="1292" t="n">
        <f aca="false">E18-D18</f>
        <v>15799.382934863</v>
      </c>
      <c r="F19" s="1292" t="n">
        <f aca="false">F18-E18</f>
        <v>3755.39178990206</v>
      </c>
      <c r="G19" s="1292" t="n">
        <f aca="false">G18-F18</f>
        <v>3868.05354359915</v>
      </c>
      <c r="H19" s="1292" t="n">
        <f aca="false">H18-G18</f>
        <v>10823.4584905809</v>
      </c>
      <c r="I19" s="1292" t="n">
        <f aca="false">I18-H18</f>
        <v>4308.79890462454</v>
      </c>
      <c r="J19" s="1292" t="n">
        <f aca="false">J18-I18</f>
        <v>4438.06287176325</v>
      </c>
      <c r="K19" s="6"/>
    </row>
    <row r="20" customFormat="false" ht="15" hidden="false" customHeight="true" outlineLevel="0" collapsed="false">
      <c r="B20" s="6"/>
      <c r="K20" s="6"/>
    </row>
    <row r="21" customFormat="false" ht="21.75" hidden="false" customHeight="true" outlineLevel="0" collapsed="false">
      <c r="B21" s="575" t="s">
        <v>5938</v>
      </c>
      <c r="C21" s="575"/>
      <c r="D21" s="575"/>
      <c r="E21" s="575"/>
      <c r="F21" s="575"/>
      <c r="G21" s="575"/>
      <c r="H21" s="575"/>
      <c r="I21" s="575"/>
      <c r="J21" s="575"/>
      <c r="K21" s="575"/>
    </row>
    <row r="22" customFormat="false" ht="15" hidden="false" customHeight="true" outlineLevel="0" collapsed="false">
      <c r="B22" s="126" t="s">
        <v>3771</v>
      </c>
      <c r="C22" s="1388" t="n">
        <v>0.02</v>
      </c>
      <c r="K22" s="6"/>
    </row>
    <row r="23" customFormat="false" ht="15" hidden="false" customHeight="true" outlineLevel="0" collapsed="false">
      <c r="B23" s="113" t="s">
        <v>4121</v>
      </c>
      <c r="C23" s="360" t="n">
        <f aca="false">C7*$C$22</f>
        <v>25521.12</v>
      </c>
      <c r="D23" s="360" t="n">
        <f aca="false">D7*$C$22</f>
        <v>29572.5978</v>
      </c>
      <c r="E23" s="360" t="n">
        <f aca="false">E7*$C$22</f>
        <v>33844.19526</v>
      </c>
      <c r="F23" s="360" t="n">
        <f aca="false">F7*$C$22</f>
        <v>34859.5211178</v>
      </c>
      <c r="G23" s="360" t="n">
        <f aca="false">G7*$C$22</f>
        <v>35905.306751334</v>
      </c>
      <c r="H23" s="360" t="n">
        <f aca="false">H7*$C$22</f>
        <v>38831.5892515677</v>
      </c>
      <c r="I23" s="360" t="n">
        <f aca="false">I7*$C$22</f>
        <v>39996.5369291148</v>
      </c>
      <c r="J23" s="360" t="n">
        <f aca="false">J7*$C$22</f>
        <v>41196.4330369882</v>
      </c>
      <c r="K23" s="6"/>
    </row>
    <row r="24" customFormat="false" ht="15" hidden="false" customHeight="true" outlineLevel="0" collapsed="false">
      <c r="B24" s="6"/>
      <c r="K24" s="6"/>
    </row>
    <row r="25" customFormat="false" ht="33.75" hidden="false" customHeight="true" outlineLevel="0" collapsed="false">
      <c r="B25" s="104" t="s">
        <v>5939</v>
      </c>
      <c r="K25" s="6"/>
    </row>
    <row r="26" customFormat="false" ht="15" hidden="false" customHeight="true" outlineLevel="0" collapsed="false">
      <c r="B26" s="6"/>
      <c r="K26" s="6"/>
    </row>
    <row r="27" customFormat="false" ht="21.75" hidden="false" customHeight="true" outlineLevel="0" collapsed="false">
      <c r="B27" s="72" t="s">
        <v>4123</v>
      </c>
      <c r="C27" s="72"/>
      <c r="D27" s="72"/>
      <c r="E27" s="72"/>
      <c r="F27" s="72"/>
      <c r="G27" s="72"/>
      <c r="H27" s="72"/>
      <c r="I27" s="72"/>
      <c r="J27" s="72"/>
      <c r="K27" s="72"/>
    </row>
    <row r="28" customFormat="false" ht="15" hidden="false" customHeight="true" outlineLevel="0" collapsed="false">
      <c r="B28" s="81" t="s">
        <v>4124</v>
      </c>
      <c r="C28" s="577" t="n">
        <f aca="false">C8-C19-C23</f>
        <v>669592.161643836</v>
      </c>
      <c r="D28" s="577" t="n">
        <f aca="false">D8-D19-D23</f>
        <v>919293.723160959</v>
      </c>
      <c r="E28" s="577" t="n">
        <f aca="false">E8-E19-E23</f>
        <v>1098301.14500514</v>
      </c>
      <c r="F28" s="577" t="n">
        <f aca="false">F8-F19-F23</f>
        <v>1143768.1519883</v>
      </c>
      <c r="G28" s="577" t="n">
        <f aca="false">G8-G19-G23</f>
        <v>1178081.19654795</v>
      </c>
      <c r="H28" s="577" t="n">
        <f aca="false">H8-H19-H23</f>
        <v>1289518.53930254</v>
      </c>
      <c r="I28" s="577" t="n">
        <f aca="false">I8-I19-I23</f>
        <v>1335043.45882229</v>
      </c>
      <c r="J28" s="577" t="n">
        <f aca="false">J8-J19-J23</f>
        <v>1375094.76258696</v>
      </c>
      <c r="K28" s="1383" t="n">
        <f aca="false">SUM(C28:J28)</f>
        <v>9008693.13905797</v>
      </c>
    </row>
    <row r="29" customFormat="false" ht="15" hidden="false" customHeight="true" outlineLevel="0" collapsed="false">
      <c r="B29" s="1382" t="s">
        <v>5940</v>
      </c>
      <c r="C29" s="593" t="n">
        <f aca="false">C28/C8</f>
        <v>0.848112777069675</v>
      </c>
      <c r="D29" s="593" t="n">
        <f aca="false">D28/D8</f>
        <v>0.953771072916823</v>
      </c>
      <c r="E29" s="593" t="n">
        <f aca="false">E28/E8</f>
        <v>0.956754382687977</v>
      </c>
      <c r="F29" s="593" t="n">
        <f aca="false">F28/F8</f>
        <v>0.967341452990873</v>
      </c>
      <c r="G29" s="593" t="n">
        <f aca="false">G28/G8</f>
        <v>0.967341452990873</v>
      </c>
      <c r="H29" s="593" t="n">
        <f aca="false">H28/H8</f>
        <v>0.96292112671388</v>
      </c>
      <c r="I29" s="593" t="n">
        <f aca="false">I28/I8</f>
        <v>0.967879526914882</v>
      </c>
      <c r="J29" s="593" t="n">
        <f aca="false">J28/J8</f>
        <v>0.967879526914882</v>
      </c>
      <c r="K29" s="6"/>
    </row>
    <row r="30" customFormat="false" ht="15" hidden="false" customHeight="true" outlineLevel="0" collapsed="false">
      <c r="B30" s="6"/>
      <c r="K30" s="6"/>
    </row>
    <row r="31" customFormat="false" ht="15" hidden="false" customHeight="true" outlineLevel="0" collapsed="false">
      <c r="B31" s="1164" t="s">
        <v>4126</v>
      </c>
      <c r="C31" s="387" t="n">
        <f aca="false">C28</f>
        <v>669592.161643836</v>
      </c>
      <c r="D31" s="387" t="n">
        <f aca="false">C31+D28</f>
        <v>1588885.88480479</v>
      </c>
      <c r="E31" s="387" t="n">
        <f aca="false">D31+E28</f>
        <v>2687187.02980993</v>
      </c>
      <c r="F31" s="387" t="n">
        <f aca="false">E31+F28</f>
        <v>3830955.18179823</v>
      </c>
      <c r="G31" s="387" t="n">
        <f aca="false">F31+G28</f>
        <v>5009036.37834618</v>
      </c>
      <c r="H31" s="387" t="n">
        <f aca="false">G31+H28</f>
        <v>6298554.91764872</v>
      </c>
      <c r="I31" s="387" t="n">
        <f aca="false">H31+I28</f>
        <v>7633598.37647101</v>
      </c>
      <c r="J31" s="387" t="n">
        <f aca="false">I31+J28</f>
        <v>9008693.13905797</v>
      </c>
      <c r="K31" s="6"/>
    </row>
    <row r="32" customFormat="false" ht="15" hidden="false" customHeight="true" outlineLevel="0" collapsed="false">
      <c r="B32" s="6"/>
      <c r="K32" s="6"/>
    </row>
    <row r="33" customFormat="false" ht="15" hidden="false" customHeight="true" outlineLevel="0" collapsed="false">
      <c r="B33" s="6"/>
      <c r="K33" s="6"/>
    </row>
    <row r="34" customFormat="false" ht="21.75" hidden="false" customHeight="true" outlineLevel="0" collapsed="false">
      <c r="B34" s="575" t="s">
        <v>4127</v>
      </c>
      <c r="C34" s="575"/>
      <c r="D34" s="575"/>
      <c r="E34" s="575"/>
      <c r="F34" s="575"/>
      <c r="G34" s="575"/>
      <c r="H34" s="575"/>
      <c r="I34" s="575"/>
      <c r="J34" s="575"/>
      <c r="K34" s="575"/>
    </row>
    <row r="35" customFormat="false" ht="21.75" hidden="false" customHeight="true" outlineLevel="0" collapsed="false">
      <c r="B35" s="97" t="s">
        <v>206</v>
      </c>
      <c r="C35" s="98" t="s">
        <v>393</v>
      </c>
      <c r="D35" s="98" t="s">
        <v>225</v>
      </c>
      <c r="K35" s="6"/>
    </row>
    <row r="36" customFormat="false" ht="15" hidden="false" customHeight="true" outlineLevel="0" collapsed="false">
      <c r="B36" s="113" t="s">
        <v>4128</v>
      </c>
      <c r="C36" s="544" t="n">
        <f aca="false">C28</f>
        <v>669592.161643836</v>
      </c>
      <c r="D36" s="634" t="s">
        <v>4129</v>
      </c>
      <c r="K36" s="6"/>
    </row>
    <row r="37" customFormat="false" ht="15" hidden="false" customHeight="true" outlineLevel="0" collapsed="false">
      <c r="B37" s="113" t="s">
        <v>4130</v>
      </c>
      <c r="C37" s="544" t="n">
        <f aca="false">F28</f>
        <v>1143768.1519883</v>
      </c>
      <c r="D37" s="634" t="s">
        <v>4131</v>
      </c>
      <c r="K37" s="6"/>
    </row>
    <row r="38" customFormat="false" ht="15" hidden="false" customHeight="true" outlineLevel="0" collapsed="false">
      <c r="B38" s="113" t="s">
        <v>4132</v>
      </c>
      <c r="C38" s="544" t="n">
        <f aca="false">K28</f>
        <v>9008693.13905797</v>
      </c>
      <c r="D38" s="634" t="s">
        <v>4133</v>
      </c>
      <c r="K38" s="6"/>
    </row>
    <row r="39" customFormat="false" ht="15" hidden="false" customHeight="true" outlineLevel="0" collapsed="false">
      <c r="B39" s="113" t="s">
        <v>4134</v>
      </c>
      <c r="C39" s="1288" t="n">
        <f aca="false">K28/K8</f>
        <v>0.954230460358605</v>
      </c>
      <c r="D39" s="634" t="s">
        <v>5941</v>
      </c>
      <c r="K39" s="6"/>
    </row>
  </sheetData>
  <mergeCells count="8">
    <mergeCell ref="B2:G2"/>
    <mergeCell ref="H2:K2"/>
    <mergeCell ref="B3:K3"/>
    <mergeCell ref="B6:K6"/>
    <mergeCell ref="B10:K10"/>
    <mergeCell ref="B21:K21"/>
    <mergeCell ref="B27:K27"/>
    <mergeCell ref="B34:K3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J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4"/>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878" t="s">
        <v>5942</v>
      </c>
      <c r="C2" s="878"/>
      <c r="D2" s="878"/>
      <c r="E2" s="878"/>
      <c r="F2" s="878"/>
      <c r="G2" s="89" t="s">
        <v>3432</v>
      </c>
      <c r="H2" s="89"/>
      <c r="I2" s="89"/>
      <c r="J2" s="89"/>
    </row>
    <row r="3" customFormat="false" ht="33.75" hidden="false" customHeight="true" outlineLevel="0" collapsed="false">
      <c r="B3" s="90" t="s">
        <v>5943</v>
      </c>
      <c r="C3" s="90"/>
      <c r="D3" s="90"/>
      <c r="E3" s="90"/>
      <c r="F3" s="90"/>
      <c r="G3" s="90"/>
      <c r="H3" s="90"/>
      <c r="I3" s="90"/>
      <c r="J3" s="90"/>
    </row>
    <row r="4" customFormat="false" ht="15" hidden="false" customHeight="true" outlineLevel="0" collapsed="false">
      <c r="B4" s="6"/>
      <c r="E4" s="6"/>
    </row>
    <row r="5" customFormat="false" ht="21.75" hidden="false" customHeight="true" outlineLevel="0" collapsed="false">
      <c r="B5" s="96" t="s">
        <v>5944</v>
      </c>
      <c r="C5" s="96"/>
      <c r="D5" s="96"/>
      <c r="E5" s="96"/>
      <c r="F5" s="96"/>
      <c r="G5" s="96"/>
      <c r="H5" s="96"/>
    </row>
    <row r="6" customFormat="false" ht="18" hidden="false" customHeight="true" outlineLevel="0" collapsed="false">
      <c r="B6" s="113" t="s">
        <v>5945</v>
      </c>
      <c r="C6" s="1282" t="n">
        <f aca="false">'Academy · Drivers'!C60</f>
        <v>195</v>
      </c>
      <c r="D6" s="565" t="s">
        <v>5946</v>
      </c>
      <c r="E6" s="6"/>
    </row>
    <row r="7" customFormat="false" ht="18" hidden="false" customHeight="true" outlineLevel="0" collapsed="false">
      <c r="B7" s="126" t="s">
        <v>5947</v>
      </c>
      <c r="C7" s="1282" t="n">
        <f aca="false">'Academy · Drivers'!C60*12/'Academy · Drivers'!C25</f>
        <v>234</v>
      </c>
      <c r="D7" s="565" t="s">
        <v>5948</v>
      </c>
      <c r="E7" s="6"/>
    </row>
    <row r="8" customFormat="false" ht="18" hidden="false" customHeight="true" outlineLevel="0" collapsed="false">
      <c r="B8" s="126" t="s">
        <v>5949</v>
      </c>
      <c r="C8" s="406" t="n">
        <f aca="false">'Academy · Revenue'!E17/'Academy · Drivers'!C60</f>
        <v>8179.84615384615</v>
      </c>
      <c r="D8" s="565" t="s">
        <v>5950</v>
      </c>
      <c r="E8" s="6"/>
    </row>
    <row r="9" customFormat="false" ht="18" hidden="false" customHeight="true" outlineLevel="0" collapsed="false">
      <c r="B9" s="126" t="s">
        <v>5951</v>
      </c>
      <c r="C9" s="406" t="n">
        <f aca="false">'Academy · Costs'!C24/'Academy · Drivers'!C60</f>
        <v>2630.88205128205</v>
      </c>
      <c r="D9" s="565" t="s">
        <v>5952</v>
      </c>
      <c r="E9" s="6"/>
    </row>
    <row r="10" customFormat="false" ht="18" hidden="false" customHeight="true" outlineLevel="0" collapsed="false">
      <c r="B10" s="126" t="s">
        <v>5953</v>
      </c>
      <c r="C10" s="406" t="n">
        <f aca="false">C8-C9</f>
        <v>5548.9641025641</v>
      </c>
      <c r="D10" s="565" t="s">
        <v>5954</v>
      </c>
      <c r="E10" s="6"/>
    </row>
    <row r="11" customFormat="false" ht="15" hidden="false" customHeight="true" outlineLevel="0" collapsed="false">
      <c r="B11" s="6"/>
      <c r="E11" s="6"/>
    </row>
    <row r="12" customFormat="false" ht="21.75" hidden="false" customHeight="true" outlineLevel="0" collapsed="false">
      <c r="B12" s="72" t="s">
        <v>5955</v>
      </c>
      <c r="C12" s="72"/>
      <c r="D12" s="72"/>
      <c r="E12" s="72"/>
      <c r="F12" s="72"/>
      <c r="G12" s="72"/>
      <c r="H12" s="72"/>
    </row>
    <row r="13" customFormat="false" ht="18" hidden="false" customHeight="true" outlineLevel="0" collapsed="false">
      <c r="B13" s="126" t="s">
        <v>5956</v>
      </c>
      <c r="C13" s="406" t="n">
        <f aca="false">'Academy · Drivers'!C26</f>
        <v>135</v>
      </c>
      <c r="D13" s="565" t="s">
        <v>5957</v>
      </c>
      <c r="E13" s="6"/>
    </row>
    <row r="14" customFormat="false" ht="18" hidden="false" customHeight="true" outlineLevel="0" collapsed="false">
      <c r="B14" s="113" t="s">
        <v>5396</v>
      </c>
      <c r="C14" s="1301" t="n">
        <f aca="false">'Academy · Drivers'!C25</f>
        <v>10</v>
      </c>
      <c r="D14" s="565" t="s">
        <v>5397</v>
      </c>
      <c r="E14" s="6"/>
    </row>
    <row r="15" customFormat="false" ht="18" hidden="false" customHeight="true" outlineLevel="0" collapsed="false">
      <c r="B15" s="1076" t="s">
        <v>5958</v>
      </c>
      <c r="C15" s="1390" t="n">
        <f aca="false">C13*C14</f>
        <v>1350</v>
      </c>
      <c r="D15" s="565" t="s">
        <v>5959</v>
      </c>
      <c r="E15" s="6"/>
    </row>
    <row r="16" customFormat="false" ht="18" hidden="false" customHeight="true" outlineLevel="0" collapsed="false">
      <c r="B16" s="81" t="s">
        <v>5960</v>
      </c>
      <c r="C16" s="1390" t="n">
        <f aca="false">C15*'Academy · Costs'!C36</f>
        <v>-692579700</v>
      </c>
      <c r="D16" s="565" t="s">
        <v>5961</v>
      </c>
      <c r="E16" s="6"/>
    </row>
    <row r="17" customFormat="false" ht="15" hidden="false" customHeight="true" outlineLevel="0" collapsed="false">
      <c r="B17" s="6"/>
      <c r="E17" s="6"/>
    </row>
    <row r="18" customFormat="false" ht="21.75" hidden="false" customHeight="true" outlineLevel="0" collapsed="false">
      <c r="B18" s="123" t="s">
        <v>5962</v>
      </c>
      <c r="C18" s="123"/>
      <c r="D18" s="123"/>
      <c r="E18" s="123"/>
      <c r="F18" s="123"/>
      <c r="G18" s="123"/>
      <c r="H18" s="123"/>
    </row>
    <row r="19" customFormat="false" ht="18" hidden="false" customHeight="true" outlineLevel="0" collapsed="false">
      <c r="B19" s="113" t="s">
        <v>5963</v>
      </c>
      <c r="C19" s="406" t="n">
        <f aca="false">'Academy · Drivers'!C73</f>
        <v>0</v>
      </c>
      <c r="D19" s="565" t="s">
        <v>5964</v>
      </c>
      <c r="E19" s="6"/>
    </row>
    <row r="20" customFormat="false" ht="18" hidden="false" customHeight="true" outlineLevel="0" collapsed="false">
      <c r="B20" s="126" t="s">
        <v>5965</v>
      </c>
      <c r="C20" s="1338" t="n">
        <v>0.5</v>
      </c>
      <c r="D20" s="565" t="s">
        <v>5966</v>
      </c>
      <c r="E20" s="6"/>
    </row>
    <row r="21" customFormat="false" ht="18" hidden="false" customHeight="true" outlineLevel="0" collapsed="false">
      <c r="B21" s="126" t="s">
        <v>5967</v>
      </c>
      <c r="C21" s="1282" t="n">
        <f aca="false">C6*12/C14</f>
        <v>234</v>
      </c>
      <c r="D21" s="565" t="s">
        <v>5968</v>
      </c>
      <c r="E21" s="6"/>
    </row>
    <row r="22" customFormat="false" ht="18" hidden="false" customHeight="true" outlineLevel="0" collapsed="false">
      <c r="B22" s="126" t="s">
        <v>5969</v>
      </c>
      <c r="C22" s="1282" t="n">
        <f aca="false">C21*C20</f>
        <v>117</v>
      </c>
      <c r="D22" s="565" t="s">
        <v>5970</v>
      </c>
      <c r="E22" s="6"/>
    </row>
    <row r="23" customFormat="false" ht="18" hidden="false" customHeight="true" outlineLevel="0" collapsed="false">
      <c r="B23" s="1076" t="s">
        <v>5971</v>
      </c>
      <c r="C23" s="1390" t="n">
        <f aca="false">C19/C22</f>
        <v>0</v>
      </c>
      <c r="D23" s="565" t="s">
        <v>5972</v>
      </c>
      <c r="E23" s="6"/>
    </row>
    <row r="24" customFormat="false" ht="18" hidden="false" customHeight="true" outlineLevel="0" collapsed="false">
      <c r="B24" s="113" t="s">
        <v>5973</v>
      </c>
      <c r="C24" s="406" t="n">
        <f aca="false">C19/C21</f>
        <v>0</v>
      </c>
      <c r="D24" s="565" t="s">
        <v>5974</v>
      </c>
      <c r="E24" s="6"/>
    </row>
    <row r="25" customFormat="false" ht="18" hidden="false" customHeight="true" outlineLevel="0" collapsed="false">
      <c r="B25" s="81" t="s">
        <v>5975</v>
      </c>
      <c r="C25" s="1391" t="n">
        <f aca="false">IFERROR(C15/C23,0)</f>
        <v>0</v>
      </c>
      <c r="D25" s="565" t="s">
        <v>5976</v>
      </c>
      <c r="E25" s="6"/>
    </row>
    <row r="26" customFormat="false" ht="18" hidden="false" customHeight="true" outlineLevel="0" collapsed="false">
      <c r="B26" s="1076" t="s">
        <v>5977</v>
      </c>
      <c r="C26" s="1392" t="n">
        <f aca="false">C23/'Academy · Drivers'!C90</f>
        <v>0</v>
      </c>
      <c r="D26" s="565" t="s">
        <v>5978</v>
      </c>
      <c r="E26" s="6"/>
    </row>
    <row r="27" customFormat="false" ht="18" hidden="false" customHeight="true" outlineLevel="0" collapsed="false">
      <c r="B27" s="113" t="s">
        <v>5979</v>
      </c>
      <c r="C27" s="1282" t="n">
        <v>1500</v>
      </c>
      <c r="D27" s="565" t="s">
        <v>5980</v>
      </c>
      <c r="E27" s="6"/>
    </row>
    <row r="28" customFormat="false" ht="18" hidden="false" customHeight="true" outlineLevel="0" collapsed="false">
      <c r="B28" s="113" t="s">
        <v>5981</v>
      </c>
      <c r="C28" s="406" t="n">
        <f aca="false">'Academy · Revenue'!E17/C27</f>
        <v>1063.38</v>
      </c>
      <c r="D28" s="565" t="s">
        <v>5982</v>
      </c>
      <c r="E28" s="6"/>
    </row>
    <row r="29" customFormat="false" ht="15" hidden="false" customHeight="true" outlineLevel="0" collapsed="false">
      <c r="B29" s="6"/>
      <c r="E29" s="6"/>
    </row>
    <row r="30" customFormat="false" ht="21.75" hidden="false" customHeight="true" outlineLevel="0" collapsed="false">
      <c r="B30" s="575" t="s">
        <v>5037</v>
      </c>
      <c r="C30" s="575"/>
      <c r="D30" s="575"/>
      <c r="E30" s="575"/>
      <c r="F30" s="575"/>
      <c r="G30" s="575"/>
      <c r="H30" s="575"/>
    </row>
    <row r="31" customFormat="false" ht="18" hidden="false" customHeight="true" outlineLevel="0" collapsed="false">
      <c r="B31" s="81" t="s">
        <v>5038</v>
      </c>
      <c r="C31" s="1390" t="n">
        <f aca="false">'Academy · Revenue'!E17</f>
        <v>1595070</v>
      </c>
      <c r="D31" s="565" t="s">
        <v>5983</v>
      </c>
      <c r="E31" s="6"/>
    </row>
    <row r="32" customFormat="false" ht="18" hidden="false" customHeight="true" outlineLevel="0" collapsed="false">
      <c r="B32" s="113" t="s">
        <v>4973</v>
      </c>
      <c r="C32" s="406" t="n">
        <f aca="false">'Academy · Costs'!C24</f>
        <v>513022</v>
      </c>
      <c r="D32" s="565" t="s">
        <v>5040</v>
      </c>
      <c r="E32" s="6"/>
    </row>
    <row r="33" customFormat="false" ht="18" hidden="false" customHeight="true" outlineLevel="0" collapsed="false">
      <c r="B33" s="81" t="s">
        <v>4975</v>
      </c>
      <c r="C33" s="1390" t="n">
        <f aca="false">'Academy · Costs'!C37</f>
        <v>1082048</v>
      </c>
      <c r="D33" s="565" t="s">
        <v>5041</v>
      </c>
      <c r="E33" s="6"/>
    </row>
    <row r="34" customFormat="false" ht="18" hidden="false" customHeight="true" outlineLevel="0" collapsed="false">
      <c r="B34" s="81" t="s">
        <v>4095</v>
      </c>
      <c r="C34" s="1393" t="n">
        <f aca="false">C33/C31</f>
        <v>0.678370228265844</v>
      </c>
      <c r="D34" s="565" t="s">
        <v>5984</v>
      </c>
      <c r="E34" s="6"/>
    </row>
  </sheetData>
  <mergeCells count="7">
    <mergeCell ref="B2:F2"/>
    <mergeCell ref="G2:J2"/>
    <mergeCell ref="B3:J3"/>
    <mergeCell ref="B5:H5"/>
    <mergeCell ref="B12:H12"/>
    <mergeCell ref="B18:H18"/>
    <mergeCell ref="B30:H30"/>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1"/>
    <col collapsed="false" customWidth="true" hidden="false" outlineLevel="0" max="11" min="5" style="0" width="9"/>
  </cols>
  <sheetData>
    <row r="1" customFormat="false" ht="3.75" hidden="false" customHeight="true" outlineLevel="0" collapsed="false">
      <c r="B1" s="1"/>
      <c r="C1" s="2"/>
      <c r="D1" s="2"/>
      <c r="E1" s="1"/>
      <c r="F1" s="2"/>
      <c r="G1" s="2"/>
      <c r="H1" s="2"/>
      <c r="I1" s="2"/>
      <c r="J1" s="2"/>
    </row>
    <row r="2" customFormat="false" ht="27.75" hidden="false" customHeight="true" outlineLevel="0" collapsed="false">
      <c r="B2" s="917" t="s">
        <v>4205</v>
      </c>
      <c r="C2" s="917"/>
      <c r="D2" s="917"/>
      <c r="E2" s="917"/>
      <c r="F2" s="917"/>
      <c r="G2" s="89" t="s">
        <v>3432</v>
      </c>
      <c r="H2" s="89"/>
      <c r="I2" s="89"/>
      <c r="J2" s="89"/>
    </row>
    <row r="3" customFormat="false" ht="33.75" hidden="false" customHeight="true" outlineLevel="0" collapsed="false">
      <c r="B3" s="90" t="s">
        <v>5985</v>
      </c>
      <c r="C3" s="90"/>
      <c r="D3" s="90"/>
      <c r="E3" s="90"/>
      <c r="F3" s="90"/>
      <c r="G3" s="90"/>
      <c r="H3" s="90"/>
      <c r="I3" s="90"/>
      <c r="J3" s="90"/>
    </row>
    <row r="4" customFormat="false" ht="15" hidden="false" customHeight="true" outlineLevel="0" collapsed="false">
      <c r="B4" s="6"/>
      <c r="E4" s="6"/>
    </row>
    <row r="5" customFormat="false" ht="33.75" hidden="false" customHeight="true" outlineLevel="0" collapsed="false">
      <c r="B5" s="96" t="s">
        <v>5050</v>
      </c>
      <c r="C5" s="96"/>
      <c r="D5" s="96"/>
      <c r="E5" s="96"/>
      <c r="F5" s="96"/>
      <c r="G5" s="96"/>
      <c r="H5" s="96"/>
    </row>
    <row r="6" customFormat="false" ht="15" hidden="false" customHeight="true" outlineLevel="0" collapsed="false">
      <c r="B6" s="6"/>
      <c r="E6" s="6"/>
    </row>
    <row r="7" customFormat="false" ht="18" hidden="false" customHeight="true" outlineLevel="0" collapsed="false">
      <c r="B7" s="113" t="s">
        <v>4971</v>
      </c>
      <c r="C7" s="1299" t="n">
        <f aca="false">'Academy · Costs'!C27</f>
        <v>380650</v>
      </c>
      <c r="D7" s="565" t="s">
        <v>5051</v>
      </c>
      <c r="E7" s="6"/>
    </row>
    <row r="8" customFormat="false" ht="18" hidden="false" customHeight="true" outlineLevel="0" collapsed="false">
      <c r="B8" s="113" t="s">
        <v>5052</v>
      </c>
      <c r="C8" s="1300" t="n">
        <f aca="false">'Academy · Costs'!C30</f>
        <v>0.238641564320061</v>
      </c>
      <c r="D8" s="565" t="s">
        <v>5053</v>
      </c>
      <c r="E8" s="6"/>
    </row>
    <row r="9" customFormat="false" ht="18" hidden="false" customHeight="true" outlineLevel="0" collapsed="false">
      <c r="B9" s="113" t="s">
        <v>5054</v>
      </c>
      <c r="C9" s="1300" t="n">
        <f aca="false">1-C8</f>
        <v>0.761358435679939</v>
      </c>
      <c r="D9" s="565" t="s">
        <v>5055</v>
      </c>
      <c r="E9" s="6"/>
    </row>
    <row r="10" customFormat="false" ht="15" hidden="false" customHeight="true" outlineLevel="0" collapsed="false">
      <c r="B10" s="6"/>
      <c r="E10" s="6"/>
    </row>
    <row r="11" customFormat="false" ht="18" hidden="false" customHeight="true" outlineLevel="0" collapsed="false">
      <c r="B11" s="81" t="s">
        <v>5056</v>
      </c>
      <c r="C11" s="406" t="n">
        <f aca="false">C7/C9</f>
        <v>499961.624067456</v>
      </c>
      <c r="D11" s="565" t="s">
        <v>5057</v>
      </c>
      <c r="E11" s="6"/>
    </row>
    <row r="12" customFormat="false" ht="18" hidden="false" customHeight="true" outlineLevel="0" collapsed="false">
      <c r="B12" s="113" t="s">
        <v>5058</v>
      </c>
      <c r="C12" s="1299" t="n">
        <f aca="false">'Academy · Revenue'!E17</f>
        <v>1595070</v>
      </c>
      <c r="D12" s="565" t="s">
        <v>5059</v>
      </c>
      <c r="E12" s="6"/>
    </row>
    <row r="13" customFormat="false" ht="18" hidden="false" customHeight="true" outlineLevel="0" collapsed="false">
      <c r="B13" s="113" t="s">
        <v>5060</v>
      </c>
      <c r="C13" s="1300" t="n">
        <f aca="false">C12/C11-1</f>
        <v>2.19038486798897</v>
      </c>
      <c r="D13" s="565" t="s">
        <v>5061</v>
      </c>
      <c r="E13" s="6"/>
    </row>
    <row r="14" customFormat="false" ht="78.75" hidden="false" customHeight="true" outlineLevel="0" collapsed="false">
      <c r="B14" s="1394" t="s">
        <v>5986</v>
      </c>
      <c r="C14" s="1394"/>
      <c r="D14" s="1394"/>
      <c r="E14" s="6"/>
    </row>
    <row r="15" customFormat="false" ht="21.75" hidden="false" customHeight="true" outlineLevel="0" collapsed="false">
      <c r="B15" s="575" t="s">
        <v>5987</v>
      </c>
      <c r="C15" s="575"/>
      <c r="D15" s="575"/>
      <c r="E15" s="575"/>
      <c r="F15" s="575"/>
      <c r="G15" s="575"/>
      <c r="H15" s="575"/>
    </row>
    <row r="16" customFormat="false" ht="18" hidden="false" customHeight="true" outlineLevel="0" collapsed="false">
      <c r="B16" s="126" t="s">
        <v>5949</v>
      </c>
      <c r="C16" s="1299" t="n">
        <f aca="false">'Academy · Unit Economics'!C8</f>
        <v>8179.84615384615</v>
      </c>
      <c r="D16" s="565" t="s">
        <v>5063</v>
      </c>
      <c r="E16" s="6"/>
    </row>
    <row r="17" customFormat="false" ht="18" hidden="false" customHeight="true" outlineLevel="0" collapsed="false">
      <c r="B17" s="1076" t="s">
        <v>5988</v>
      </c>
      <c r="C17" s="1301" t="n">
        <f aca="false">C11/C16</f>
        <v>61.1211524843135</v>
      </c>
      <c r="D17" s="565" t="s">
        <v>5989</v>
      </c>
      <c r="E17" s="6"/>
    </row>
    <row r="18" customFormat="false" ht="18" hidden="false" customHeight="true" outlineLevel="0" collapsed="false">
      <c r="B18" s="113" t="s">
        <v>5990</v>
      </c>
      <c r="C18" s="1302" t="n">
        <f aca="false">'Academy · Drivers'!C60</f>
        <v>195</v>
      </c>
      <c r="D18" s="565" t="s">
        <v>5067</v>
      </c>
      <c r="E18" s="6"/>
    </row>
    <row r="19" customFormat="false" ht="18" hidden="false" customHeight="true" outlineLevel="0" collapsed="false">
      <c r="B19" s="126" t="s">
        <v>5991</v>
      </c>
      <c r="C19" s="1302" t="n">
        <f aca="false">C18-C17</f>
        <v>133.878847515687</v>
      </c>
      <c r="D19" s="565" t="s">
        <v>5992</v>
      </c>
      <c r="E19" s="6"/>
    </row>
  </sheetData>
  <mergeCells count="6">
    <mergeCell ref="B2:F2"/>
    <mergeCell ref="G2:J2"/>
    <mergeCell ref="B3:J3"/>
    <mergeCell ref="B5:H5"/>
    <mergeCell ref="B14:D14"/>
    <mergeCell ref="B15:H1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7" min="7" style="0" width="20"/>
    <col collapsed="false" customWidth="true" hidden="false" outlineLevel="0" max="11" min="8" style="0" width="12"/>
  </cols>
  <sheetData>
    <row r="1" customFormat="false" ht="3.75" hidden="false" customHeight="true" outlineLevel="0" collapsed="false">
      <c r="B1" s="1"/>
      <c r="C1" s="2"/>
      <c r="D1" s="2"/>
      <c r="E1" s="2"/>
      <c r="F1" s="1"/>
      <c r="G1" s="2"/>
    </row>
    <row r="2" customFormat="false" ht="27.75" hidden="false" customHeight="true" outlineLevel="0" collapsed="false">
      <c r="B2" s="15" t="s">
        <v>5993</v>
      </c>
      <c r="C2" s="15"/>
      <c r="D2" s="15"/>
      <c r="E2" s="15"/>
      <c r="F2" s="1023" t="s">
        <v>995</v>
      </c>
      <c r="G2" s="1023"/>
    </row>
    <row r="3" customFormat="false" ht="33.75" hidden="false" customHeight="true" outlineLevel="0" collapsed="false">
      <c r="B3" s="90" t="s">
        <v>5994</v>
      </c>
      <c r="C3" s="90"/>
      <c r="D3" s="90"/>
      <c r="E3" s="90"/>
      <c r="F3" s="90"/>
      <c r="G3" s="90"/>
    </row>
    <row r="4" customFormat="false" ht="15" hidden="false" customHeight="true" outlineLevel="0" collapsed="false">
      <c r="B4" s="6"/>
      <c r="F4" s="6"/>
    </row>
    <row r="5" customFormat="false" ht="21.75" hidden="false" customHeight="true" outlineLevel="0" collapsed="false">
      <c r="B5" s="96" t="s">
        <v>5995</v>
      </c>
      <c r="C5" s="96"/>
      <c r="D5" s="96"/>
      <c r="E5" s="96"/>
      <c r="F5" s="96"/>
      <c r="G5" s="96"/>
    </row>
    <row r="6" customFormat="false" ht="21.75" hidden="false" customHeight="true" outlineLevel="0" collapsed="false">
      <c r="B6" s="97" t="s">
        <v>3445</v>
      </c>
      <c r="C6" s="98" t="s">
        <v>5996</v>
      </c>
      <c r="D6" s="98" t="s">
        <v>5073</v>
      </c>
      <c r="E6" s="98" t="s">
        <v>4241</v>
      </c>
      <c r="F6" s="99" t="s">
        <v>4242</v>
      </c>
      <c r="G6" s="98" t="s">
        <v>778</v>
      </c>
    </row>
    <row r="7" customFormat="false" ht="15" hidden="false" customHeight="true" outlineLevel="0" collapsed="false">
      <c r="B7" s="113" t="s">
        <v>5997</v>
      </c>
      <c r="C7" s="567" t="n">
        <f aca="false">'Academy · Drivers'!D7</f>
        <v>0.9</v>
      </c>
      <c r="D7" s="480" t="n">
        <f aca="false">'Academy · Drivers'!D7</f>
        <v>0.9</v>
      </c>
      <c r="E7" s="740" t="n">
        <f aca="false">IFERROR(D7/C7,0)</f>
        <v>1</v>
      </c>
      <c r="F7" s="1395" t="n">
        <f aca="false">IFERROR(1-E7,0)</f>
        <v>0</v>
      </c>
      <c r="G7" s="634" t="s">
        <v>5998</v>
      </c>
    </row>
    <row r="8" customFormat="false" ht="15" hidden="false" customHeight="true" outlineLevel="0" collapsed="false">
      <c r="B8" s="113" t="s">
        <v>5999</v>
      </c>
      <c r="C8" s="567" t="n">
        <f aca="false">'Academy · Drivers'!D8</f>
        <v>0.05</v>
      </c>
      <c r="D8" s="480" t="n">
        <f aca="false">'Academy · Drivers'!D8</f>
        <v>0.05</v>
      </c>
      <c r="E8" s="740" t="n">
        <f aca="false">IFERROR(D8/C8,0)</f>
        <v>1</v>
      </c>
      <c r="F8" s="1395" t="n">
        <f aca="false">IFERROR(1-E8,0)</f>
        <v>0</v>
      </c>
      <c r="G8" s="634" t="s">
        <v>6000</v>
      </c>
    </row>
    <row r="9" customFormat="false" ht="15" hidden="false" customHeight="true" outlineLevel="0" collapsed="false">
      <c r="B9" s="113" t="s">
        <v>6001</v>
      </c>
      <c r="C9" s="567" t="n">
        <f aca="false">'Academy · Revenue'!E13/4500</f>
        <v>3.56666666666667</v>
      </c>
      <c r="D9" s="480" t="n">
        <f aca="false">'Academy · Revenue'!E13/4500</f>
        <v>3.56666666666667</v>
      </c>
      <c r="E9" s="740" t="n">
        <f aca="false">IFERROR(D9/C9,0)</f>
        <v>1</v>
      </c>
      <c r="F9" s="1395" t="n">
        <f aca="false">IFERROR(1-E9,0)</f>
        <v>0</v>
      </c>
      <c r="G9" s="634" t="s">
        <v>6002</v>
      </c>
    </row>
    <row r="10" customFormat="false" ht="15" hidden="false" customHeight="true" outlineLevel="0" collapsed="false">
      <c r="B10" s="113" t="s">
        <v>6003</v>
      </c>
      <c r="C10" s="567" t="n">
        <f aca="false">'Academy · Revenue'!E48/3000</f>
        <v>0</v>
      </c>
      <c r="D10" s="480" t="n">
        <f aca="false">'Academy · Revenue'!E48/3000</f>
        <v>0</v>
      </c>
      <c r="E10" s="740" t="n">
        <f aca="false">IFERROR(D10/C10,0)</f>
        <v>0</v>
      </c>
      <c r="F10" s="1395" t="n">
        <f aca="false">IFERROR(1-E10,0)</f>
        <v>1</v>
      </c>
      <c r="G10" s="634" t="s">
        <v>6004</v>
      </c>
    </row>
    <row r="11" customFormat="false" ht="15" hidden="false" customHeight="true" outlineLevel="0" collapsed="false">
      <c r="B11" s="6"/>
      <c r="F11" s="6"/>
    </row>
    <row r="12" customFormat="false" ht="21.75" hidden="false" customHeight="true" outlineLevel="0" collapsed="false">
      <c r="B12" s="125" t="s">
        <v>4246</v>
      </c>
      <c r="C12" s="125"/>
      <c r="D12" s="125"/>
      <c r="E12" s="125"/>
      <c r="F12" s="125"/>
      <c r="G12" s="125"/>
    </row>
    <row r="13" customFormat="false" ht="21.75" hidden="false" customHeight="true" outlineLevel="0" collapsed="false">
      <c r="B13" s="97" t="s">
        <v>738</v>
      </c>
      <c r="C13" s="98" t="s">
        <v>4247</v>
      </c>
      <c r="D13" s="98" t="s">
        <v>3446</v>
      </c>
      <c r="E13" s="98" t="s">
        <v>4249</v>
      </c>
      <c r="F13" s="99" t="s">
        <v>778</v>
      </c>
    </row>
    <row r="14" customFormat="false" ht="15" hidden="false" customHeight="true" outlineLevel="0" collapsed="false">
      <c r="B14" s="113" t="s">
        <v>4250</v>
      </c>
      <c r="C14" s="1396" t="n">
        <v>1</v>
      </c>
      <c r="D14" s="606" t="n">
        <f aca="false">'Academy · Revenue'!E17</f>
        <v>1595070</v>
      </c>
      <c r="E14" s="706" t="s">
        <v>672</v>
      </c>
      <c r="F14" s="592" t="s">
        <v>4251</v>
      </c>
    </row>
    <row r="15" customFormat="false" ht="15" hidden="false" customHeight="true" outlineLevel="0" collapsed="false">
      <c r="B15" s="113" t="s">
        <v>6005</v>
      </c>
      <c r="C15" s="1396" t="n">
        <v>1.25</v>
      </c>
      <c r="D15" s="648" t="n">
        <f aca="false">'Academy · Revenue'!E17*1.25</f>
        <v>1993837.5</v>
      </c>
      <c r="E15" s="1397" t="n">
        <f aca="false">D15/D14-1</f>
        <v>0.25</v>
      </c>
      <c r="F15" s="592" t="s">
        <v>6006</v>
      </c>
    </row>
    <row r="16" customFormat="false" ht="15" hidden="false" customHeight="true" outlineLevel="0" collapsed="false">
      <c r="B16" s="113" t="s">
        <v>6007</v>
      </c>
      <c r="C16" s="1396" t="n">
        <v>1.5</v>
      </c>
      <c r="D16" s="648" t="n">
        <f aca="false">'Academy · Revenue'!E17*1.5</f>
        <v>2392605</v>
      </c>
      <c r="E16" s="1397" t="n">
        <f aca="false">D16/D14-1</f>
        <v>0.5</v>
      </c>
      <c r="F16" s="592" t="s">
        <v>6008</v>
      </c>
    </row>
    <row r="17" customFormat="false" ht="15" hidden="false" customHeight="true" outlineLevel="0" collapsed="false">
      <c r="B17" s="113" t="s">
        <v>6009</v>
      </c>
      <c r="C17" s="1396" t="n">
        <v>2</v>
      </c>
      <c r="D17" s="648" t="n">
        <f aca="false">'Academy · Revenue'!E17*2</f>
        <v>3190140</v>
      </c>
      <c r="E17" s="1397" t="n">
        <f aca="false">D17/D14-1</f>
        <v>1</v>
      </c>
      <c r="F17" s="592" t="s">
        <v>6010</v>
      </c>
    </row>
    <row r="18" customFormat="false" ht="15" hidden="false" customHeight="true" outlineLevel="0" collapsed="false">
      <c r="B18" s="6"/>
      <c r="F18" s="6"/>
    </row>
    <row r="19" customFormat="false" ht="21.75" hidden="false" customHeight="true" outlineLevel="0" collapsed="false">
      <c r="B19" s="72" t="s">
        <v>6011</v>
      </c>
      <c r="C19" s="72"/>
      <c r="D19" s="72"/>
      <c r="E19" s="72"/>
      <c r="F19" s="72"/>
      <c r="G19" s="72"/>
    </row>
    <row r="20" customFormat="false" ht="120" hidden="false" customHeight="true" outlineLevel="0" collapsed="false">
      <c r="B20" s="1398" t="s">
        <v>6012</v>
      </c>
      <c r="C20" s="1398"/>
      <c r="D20" s="1398"/>
      <c r="E20" s="1398"/>
      <c r="F20" s="1398"/>
      <c r="G20" s="1398"/>
    </row>
    <row r="21" customFormat="false" ht="15" hidden="false" customHeight="true" outlineLevel="0" collapsed="false">
      <c r="B21" s="1398"/>
      <c r="C21" s="1398"/>
      <c r="D21" s="1398"/>
      <c r="E21" s="1398"/>
      <c r="F21" s="1398"/>
      <c r="G21" s="1398"/>
    </row>
    <row r="22" customFormat="false" ht="15" hidden="false" customHeight="true" outlineLevel="0" collapsed="false">
      <c r="B22" s="1398"/>
      <c r="C22" s="1398"/>
      <c r="D22" s="1398"/>
      <c r="E22" s="1398"/>
      <c r="F22" s="1398"/>
      <c r="G22" s="1398"/>
    </row>
    <row r="23" customFormat="false" ht="15" hidden="false" customHeight="true" outlineLevel="0" collapsed="false">
      <c r="B23" s="1398"/>
      <c r="C23" s="1398"/>
      <c r="D23" s="1398"/>
      <c r="E23" s="1398"/>
      <c r="F23" s="1398"/>
      <c r="G23" s="1398"/>
    </row>
    <row r="24" customFormat="false" ht="15" hidden="false" customHeight="true" outlineLevel="0" collapsed="false">
      <c r="B24" s="1398"/>
      <c r="C24" s="1398"/>
      <c r="D24" s="1398"/>
      <c r="E24" s="1398"/>
      <c r="F24" s="1398"/>
      <c r="G24" s="1398"/>
    </row>
  </sheetData>
  <mergeCells count="7">
    <mergeCell ref="B2:E2"/>
    <mergeCell ref="F2:G2"/>
    <mergeCell ref="B3:G3"/>
    <mergeCell ref="B5:G5"/>
    <mergeCell ref="B12:G12"/>
    <mergeCell ref="B19:G19"/>
    <mergeCell ref="B20:G24"/>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A1:I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5" min="3" style="0" width="11"/>
    <col collapsed="false" customWidth="true" hidden="false" outlineLevel="0" max="7" min="6" style="0" width="18"/>
    <col collapsed="false" customWidth="true" hidden="false" outlineLevel="0" max="9" min="8" style="0" width="9"/>
    <col collapsed="false" customWidth="true" hidden="false" outlineLevel="0" max="11" min="10" style="0" width="12"/>
  </cols>
  <sheetData>
    <row r="1" customFormat="false" ht="3.75" hidden="false" customHeight="true" outlineLevel="0" collapsed="false">
      <c r="A1" s="314"/>
      <c r="B1" s="315"/>
      <c r="C1" s="316"/>
      <c r="D1" s="316"/>
      <c r="E1" s="316"/>
      <c r="F1" s="315"/>
      <c r="G1" s="316"/>
      <c r="H1" s="316"/>
      <c r="I1" s="316"/>
    </row>
    <row r="2" customFormat="false" ht="27.75" hidden="false" customHeight="true" outlineLevel="0" collapsed="false">
      <c r="A2" s="314"/>
      <c r="B2" s="15" t="s">
        <v>6013</v>
      </c>
      <c r="C2" s="15"/>
      <c r="D2" s="15"/>
      <c r="E2" s="15"/>
      <c r="F2" s="15"/>
      <c r="G2" s="89" t="s">
        <v>995</v>
      </c>
      <c r="H2" s="89"/>
      <c r="I2" s="89"/>
    </row>
    <row r="3" customFormat="false" ht="33.75" hidden="false" customHeight="true" outlineLevel="0" collapsed="false">
      <c r="A3" s="314"/>
      <c r="B3" s="90" t="s">
        <v>6014</v>
      </c>
      <c r="C3" s="90"/>
      <c r="D3" s="90"/>
      <c r="E3" s="90"/>
      <c r="F3" s="90"/>
      <c r="G3" s="90"/>
      <c r="H3" s="90"/>
      <c r="I3" s="90"/>
    </row>
    <row r="4" customFormat="false" ht="15" hidden="false" customHeight="true" outlineLevel="0" collapsed="false">
      <c r="A4" s="314"/>
      <c r="B4" s="317"/>
      <c r="C4" s="314"/>
      <c r="D4" s="314"/>
      <c r="E4" s="314"/>
      <c r="F4" s="317"/>
      <c r="G4" s="314"/>
      <c r="H4" s="314"/>
      <c r="I4" s="314"/>
    </row>
    <row r="5" customFormat="false" ht="33.75" hidden="false" customHeight="true" outlineLevel="0" collapsed="false">
      <c r="A5" s="314"/>
      <c r="B5" s="96" t="s">
        <v>6015</v>
      </c>
      <c r="C5" s="96"/>
      <c r="D5" s="96"/>
      <c r="E5" s="96"/>
      <c r="F5" s="96"/>
      <c r="G5" s="96"/>
      <c r="H5" s="96"/>
      <c r="I5" s="96"/>
    </row>
    <row r="6" customFormat="false" ht="21.75" hidden="false" customHeight="true" outlineLevel="0" collapsed="false">
      <c r="A6" s="314"/>
      <c r="B6" s="97" t="s">
        <v>3507</v>
      </c>
      <c r="C6" s="98" t="s">
        <v>4313</v>
      </c>
      <c r="D6" s="98" t="s">
        <v>4264</v>
      </c>
      <c r="E6" s="98" t="s">
        <v>2930</v>
      </c>
      <c r="F6" s="99" t="s">
        <v>4265</v>
      </c>
      <c r="G6" s="98" t="s">
        <v>4266</v>
      </c>
      <c r="H6" s="314"/>
      <c r="I6" s="314"/>
    </row>
    <row r="7" customFormat="false" ht="15" hidden="false" customHeight="true" outlineLevel="0" collapsed="false">
      <c r="A7" s="314"/>
      <c r="B7" s="113" t="s">
        <v>3236</v>
      </c>
      <c r="C7" s="541" t="n">
        <f aca="false">'Academy · Drivers'!C60</f>
        <v>195</v>
      </c>
      <c r="D7" s="1304" t="s">
        <v>5098</v>
      </c>
      <c r="E7" s="1305" t="s">
        <v>4287</v>
      </c>
      <c r="F7" s="691" t="s">
        <v>6016</v>
      </c>
      <c r="G7" s="107" t="s">
        <v>6017</v>
      </c>
      <c r="H7" s="314"/>
      <c r="I7" s="314"/>
    </row>
    <row r="8" customFormat="false" ht="15" hidden="false" customHeight="true" outlineLevel="0" collapsed="false">
      <c r="A8" s="314"/>
      <c r="B8" s="113" t="s">
        <v>5392</v>
      </c>
      <c r="C8" s="1218" t="n">
        <f aca="false">'Academy · Drivers'!C23</f>
        <v>0.9</v>
      </c>
      <c r="D8" s="1304" t="s">
        <v>5102</v>
      </c>
      <c r="E8" s="1305" t="s">
        <v>4287</v>
      </c>
      <c r="F8" s="691" t="s">
        <v>6016</v>
      </c>
      <c r="G8" s="107" t="s">
        <v>6018</v>
      </c>
      <c r="H8" s="314"/>
      <c r="I8" s="314"/>
    </row>
    <row r="9" customFormat="false" ht="15" hidden="false" customHeight="true" outlineLevel="0" collapsed="false">
      <c r="A9" s="314"/>
      <c r="B9" s="126" t="s">
        <v>5394</v>
      </c>
      <c r="C9" s="1218" t="n">
        <f aca="false">'Academy · Drivers'!C24</f>
        <v>0.05</v>
      </c>
      <c r="D9" s="1304" t="s">
        <v>6019</v>
      </c>
      <c r="E9" s="1305" t="s">
        <v>4302</v>
      </c>
      <c r="F9" s="691" t="s">
        <v>6020</v>
      </c>
      <c r="G9" s="107" t="s">
        <v>6021</v>
      </c>
      <c r="H9" s="314"/>
      <c r="I9" s="314"/>
    </row>
    <row r="10" customFormat="false" ht="15" hidden="false" customHeight="true" outlineLevel="0" collapsed="false">
      <c r="A10" s="314"/>
      <c r="B10" s="113" t="s">
        <v>6022</v>
      </c>
      <c r="C10" s="1365" t="n">
        <f aca="false">'Academy · Drivers'!C25</f>
        <v>10</v>
      </c>
      <c r="D10" s="1304" t="s">
        <v>6023</v>
      </c>
      <c r="E10" s="1305" t="s">
        <v>6024</v>
      </c>
      <c r="F10" s="691" t="s">
        <v>6016</v>
      </c>
      <c r="G10" s="107" t="s">
        <v>6025</v>
      </c>
      <c r="H10" s="314"/>
      <c r="I10" s="314"/>
    </row>
    <row r="11" customFormat="false" ht="15" hidden="false" customHeight="true" outlineLevel="0" collapsed="false">
      <c r="A11" s="314"/>
      <c r="B11" s="113" t="s">
        <v>6026</v>
      </c>
      <c r="C11" s="1399" t="n">
        <v>0.85</v>
      </c>
      <c r="D11" s="1304" t="s">
        <v>6027</v>
      </c>
      <c r="E11" s="1305" t="s">
        <v>6024</v>
      </c>
      <c r="F11" s="691" t="s">
        <v>6028</v>
      </c>
      <c r="G11" s="107" t="s">
        <v>6029</v>
      </c>
      <c r="H11" s="314"/>
      <c r="I11" s="314"/>
    </row>
    <row r="12" customFormat="false" ht="15" hidden="false" customHeight="true" outlineLevel="0" collapsed="false">
      <c r="A12" s="314"/>
      <c r="B12" s="113" t="s">
        <v>5413</v>
      </c>
      <c r="C12" s="1218" t="n">
        <f aca="false">'Academy · Drivers'!C34</f>
        <v>0.75</v>
      </c>
      <c r="D12" s="1304" t="s">
        <v>5102</v>
      </c>
      <c r="E12" s="1305" t="s">
        <v>4287</v>
      </c>
      <c r="F12" s="691" t="s">
        <v>4298</v>
      </c>
      <c r="G12" s="107" t="s">
        <v>6030</v>
      </c>
      <c r="H12" s="314"/>
      <c r="I12" s="314"/>
    </row>
    <row r="13" customFormat="false" ht="15" hidden="false" customHeight="true" outlineLevel="0" collapsed="false">
      <c r="A13" s="314"/>
      <c r="B13" s="113" t="s">
        <v>6031</v>
      </c>
      <c r="C13" s="1399" t="n">
        <v>0.7</v>
      </c>
      <c r="D13" s="1304" t="s">
        <v>5153</v>
      </c>
      <c r="E13" s="1305" t="s">
        <v>4287</v>
      </c>
      <c r="F13" s="691" t="s">
        <v>4298</v>
      </c>
      <c r="G13" s="107" t="s">
        <v>6032</v>
      </c>
      <c r="H13" s="314"/>
      <c r="I13" s="314"/>
    </row>
    <row r="14" customFormat="false" ht="21.75" hidden="false" customHeight="true" outlineLevel="0" collapsed="false">
      <c r="A14" s="314"/>
      <c r="B14" s="113" t="s">
        <v>6033</v>
      </c>
      <c r="C14" s="541" t="n">
        <f aca="false">'Academy · Drivers'!C30*12</f>
        <v>240</v>
      </c>
      <c r="D14" s="1304" t="s">
        <v>6034</v>
      </c>
      <c r="E14" s="1305" t="s">
        <v>4302</v>
      </c>
      <c r="F14" s="691" t="s">
        <v>6035</v>
      </c>
      <c r="G14" s="107" t="s">
        <v>6036</v>
      </c>
      <c r="H14" s="314"/>
      <c r="I14" s="314"/>
    </row>
    <row r="15" customFormat="false" ht="21.75" hidden="false" customHeight="true" outlineLevel="0" collapsed="false">
      <c r="A15" s="314"/>
      <c r="B15" s="113" t="s">
        <v>6037</v>
      </c>
      <c r="C15" s="541" t="n">
        <v>150000</v>
      </c>
      <c r="D15" s="1304" t="s">
        <v>6038</v>
      </c>
      <c r="E15" s="1305" t="s">
        <v>4287</v>
      </c>
      <c r="F15" s="691" t="s">
        <v>6035</v>
      </c>
      <c r="G15" s="107" t="s">
        <v>6039</v>
      </c>
      <c r="H15" s="314"/>
      <c r="I15" s="314"/>
    </row>
    <row r="16" customFormat="false" ht="15" hidden="false" customHeight="true" outlineLevel="0" collapsed="false">
      <c r="A16" s="314"/>
      <c r="B16" s="113" t="s">
        <v>6040</v>
      </c>
      <c r="C16" s="547" t="n">
        <f aca="false">'Academy · Drivers'!C35*'Academy · Drivers'!C36/12</f>
        <v>125</v>
      </c>
      <c r="D16" s="1304" t="s">
        <v>6041</v>
      </c>
      <c r="E16" s="1305" t="s">
        <v>4287</v>
      </c>
      <c r="F16" s="691" t="s">
        <v>4298</v>
      </c>
      <c r="G16" s="107" t="s">
        <v>6042</v>
      </c>
      <c r="H16" s="314"/>
      <c r="I16" s="314"/>
    </row>
    <row r="17" customFormat="false" ht="15" hidden="false" customHeight="true" outlineLevel="0" collapsed="false">
      <c r="A17" s="314"/>
      <c r="B17" s="126" t="s">
        <v>6043</v>
      </c>
      <c r="C17" s="541" t="n">
        <f aca="false">'Academy · Drivers'!C103*'Academy · Drivers'!C104</f>
        <v>12</v>
      </c>
      <c r="D17" s="1304" t="s">
        <v>6044</v>
      </c>
      <c r="E17" s="1305" t="s">
        <v>4330</v>
      </c>
      <c r="F17" s="691" t="s">
        <v>6045</v>
      </c>
      <c r="G17" s="107" t="s">
        <v>6046</v>
      </c>
      <c r="H17" s="314"/>
      <c r="I17" s="314"/>
    </row>
    <row r="18" customFormat="false" ht="15" hidden="false" customHeight="true" outlineLevel="0" collapsed="false">
      <c r="A18" s="314"/>
      <c r="B18" s="126" t="s">
        <v>6047</v>
      </c>
      <c r="C18" s="1218" t="n">
        <f aca="false">'Academy · Drivers'!C106</f>
        <v>0.3</v>
      </c>
      <c r="D18" s="1304" t="s">
        <v>6048</v>
      </c>
      <c r="E18" s="1305" t="s">
        <v>4330</v>
      </c>
      <c r="F18" s="691" t="s">
        <v>6045</v>
      </c>
      <c r="G18" s="107" t="s">
        <v>6049</v>
      </c>
      <c r="H18" s="314"/>
      <c r="I18" s="314"/>
    </row>
    <row r="19" customFormat="false" ht="15" hidden="false" customHeight="true" outlineLevel="0" collapsed="false">
      <c r="A19" s="314"/>
      <c r="B19" s="113" t="s">
        <v>6050</v>
      </c>
      <c r="C19" s="541" t="n">
        <v>70</v>
      </c>
      <c r="D19" s="1304" t="s">
        <v>6051</v>
      </c>
      <c r="E19" s="1305" t="s">
        <v>6024</v>
      </c>
      <c r="F19" s="691" t="s">
        <v>6016</v>
      </c>
      <c r="G19" s="107" t="s">
        <v>6052</v>
      </c>
      <c r="H19" s="314"/>
      <c r="I19" s="314"/>
    </row>
    <row r="20" customFormat="false" ht="15" hidden="false" customHeight="true" outlineLevel="0" collapsed="false">
      <c r="A20" s="314"/>
      <c r="B20" s="113" t="s">
        <v>6053</v>
      </c>
      <c r="C20" s="1399" t="n">
        <v>0.75</v>
      </c>
      <c r="D20" s="1304" t="s">
        <v>6054</v>
      </c>
      <c r="E20" s="1305" t="s">
        <v>4287</v>
      </c>
      <c r="F20" s="691" t="s">
        <v>6016</v>
      </c>
      <c r="G20" s="107" t="s">
        <v>6055</v>
      </c>
      <c r="H20" s="314"/>
      <c r="I20" s="314"/>
    </row>
    <row r="21" customFormat="false" ht="15" hidden="false" customHeight="true" outlineLevel="0" collapsed="false">
      <c r="A21" s="314"/>
      <c r="B21" s="113" t="s">
        <v>6056</v>
      </c>
      <c r="C21" s="1399" t="n">
        <v>0.95</v>
      </c>
      <c r="D21" s="1304" t="s">
        <v>5132</v>
      </c>
      <c r="E21" s="1305" t="s">
        <v>4270</v>
      </c>
      <c r="F21" s="691" t="s">
        <v>4293</v>
      </c>
      <c r="G21" s="107" t="s">
        <v>4294</v>
      </c>
      <c r="H21" s="314"/>
      <c r="I21" s="314"/>
    </row>
    <row r="22" customFormat="false" ht="15" hidden="false" customHeight="true" outlineLevel="0" collapsed="false">
      <c r="A22" s="314"/>
      <c r="B22" s="317"/>
      <c r="C22" s="314"/>
      <c r="D22" s="314"/>
      <c r="E22" s="314"/>
      <c r="F22" s="317"/>
      <c r="G22" s="314"/>
      <c r="H22" s="314"/>
      <c r="I22" s="314"/>
    </row>
    <row r="23" customFormat="false" ht="21.75" hidden="false" customHeight="true" outlineLevel="0" collapsed="false">
      <c r="A23" s="314"/>
      <c r="B23" s="575" t="s">
        <v>4312</v>
      </c>
      <c r="C23" s="575"/>
      <c r="D23" s="575"/>
      <c r="E23" s="575"/>
      <c r="F23" s="575"/>
      <c r="G23" s="575"/>
      <c r="H23" s="575"/>
      <c r="I23" s="575"/>
    </row>
    <row r="24" customFormat="false" ht="21.75" hidden="false" customHeight="true" outlineLevel="0" collapsed="false">
      <c r="A24" s="314"/>
      <c r="B24" s="97" t="s">
        <v>3507</v>
      </c>
      <c r="C24" s="98" t="s">
        <v>4313</v>
      </c>
      <c r="D24" s="98" t="s">
        <v>4264</v>
      </c>
      <c r="E24" s="98" t="s">
        <v>2930</v>
      </c>
      <c r="F24" s="99" t="s">
        <v>4265</v>
      </c>
      <c r="G24" s="98" t="s">
        <v>1658</v>
      </c>
      <c r="H24" s="314"/>
      <c r="I24" s="314"/>
    </row>
    <row r="25" customFormat="false" ht="15" hidden="false" customHeight="true" outlineLevel="0" collapsed="false">
      <c r="A25" s="314"/>
      <c r="B25" s="113" t="s">
        <v>5145</v>
      </c>
      <c r="C25" s="1218" t="n">
        <f aca="false">'Academy · Revenue'!E17/12</f>
        <v>132922.5</v>
      </c>
      <c r="D25" s="1304" t="s">
        <v>5136</v>
      </c>
      <c r="E25" s="1305" t="s">
        <v>4287</v>
      </c>
      <c r="F25" s="691" t="s">
        <v>4315</v>
      </c>
      <c r="G25" s="107" t="s">
        <v>6057</v>
      </c>
      <c r="H25" s="314"/>
      <c r="I25" s="314"/>
    </row>
    <row r="26" customFormat="false" ht="15" hidden="false" customHeight="true" outlineLevel="0" collapsed="false">
      <c r="B26" s="113" t="s">
        <v>5150</v>
      </c>
      <c r="C26" s="1218" t="n">
        <f aca="false">('Academy · P&amp;L'!F13)/12</f>
        <v>98531.9220746667</v>
      </c>
      <c r="D26" s="1304" t="s">
        <v>5139</v>
      </c>
      <c r="E26" s="1305" t="s">
        <v>4287</v>
      </c>
      <c r="F26" s="691" t="s">
        <v>4315</v>
      </c>
      <c r="G26" s="107" t="s">
        <v>6058</v>
      </c>
    </row>
    <row r="27" customFormat="false" ht="15" hidden="false" customHeight="true" outlineLevel="0" collapsed="false">
      <c r="B27" s="113" t="s">
        <v>4387</v>
      </c>
      <c r="C27" s="1218" t="n">
        <f aca="false">'Academy · P&amp;L'!F13/'Academy · Revenue'!E17</f>
        <v>0.741273464422251</v>
      </c>
      <c r="D27" s="1304" t="s">
        <v>6059</v>
      </c>
      <c r="E27" s="1305" t="s">
        <v>4287</v>
      </c>
      <c r="F27" s="691" t="s">
        <v>4315</v>
      </c>
      <c r="G27" s="107" t="s">
        <v>5154</v>
      </c>
    </row>
    <row r="28" customFormat="false" ht="15" hidden="false" customHeight="true" outlineLevel="0" collapsed="false">
      <c r="B28" s="126" t="s">
        <v>6060</v>
      </c>
      <c r="C28" s="1218" t="n">
        <f aca="false">('Academy · Revenue'!E7+'Academy · Revenue'!E10)/'Academy · Revenue'!E17</f>
        <v>0.252045364780229</v>
      </c>
      <c r="D28" s="1304" t="s">
        <v>5102</v>
      </c>
      <c r="E28" s="1305" t="s">
        <v>4302</v>
      </c>
      <c r="F28" s="691" t="s">
        <v>4315</v>
      </c>
      <c r="G28" s="107" t="s">
        <v>6061</v>
      </c>
    </row>
    <row r="29" customFormat="false" ht="15" hidden="false" customHeight="true" outlineLevel="0" collapsed="false">
      <c r="B29" s="126" t="s">
        <v>6062</v>
      </c>
      <c r="C29" s="1218" t="n">
        <f aca="false">'Academy · Revenue'!E9/'Academy · Revenue'!E17</f>
        <v>0.556715379262352</v>
      </c>
      <c r="D29" s="1304" t="s">
        <v>5163</v>
      </c>
      <c r="E29" s="1305" t="s">
        <v>4302</v>
      </c>
      <c r="F29" s="691" t="s">
        <v>4315</v>
      </c>
      <c r="G29" s="107" t="s">
        <v>6063</v>
      </c>
    </row>
    <row r="30" customFormat="false" ht="15" hidden="false" customHeight="true" outlineLevel="0" collapsed="false">
      <c r="B30" s="113" t="s">
        <v>6064</v>
      </c>
      <c r="C30" s="547" t="n">
        <f aca="false">'Academy · Cash Flow'!F28/12</f>
        <v>95314.0126656915</v>
      </c>
      <c r="D30" s="1304" t="s">
        <v>4322</v>
      </c>
      <c r="E30" s="1305" t="s">
        <v>4287</v>
      </c>
      <c r="F30" s="691" t="s">
        <v>4315</v>
      </c>
      <c r="G30" s="107" t="s">
        <v>6065</v>
      </c>
    </row>
    <row r="31" customFormat="false" ht="15" hidden="false" customHeight="true" outlineLevel="0" collapsed="false">
      <c r="B31" s="113" t="s">
        <v>6066</v>
      </c>
      <c r="C31" s="1218" t="n">
        <f aca="false">('Academy · Drivers'!C90*'Academy · Drivers'!C25)/150</f>
        <v>9.3</v>
      </c>
      <c r="D31" s="1304" t="s">
        <v>6067</v>
      </c>
      <c r="E31" s="1305" t="s">
        <v>4302</v>
      </c>
      <c r="F31" s="691" t="s">
        <v>6068</v>
      </c>
      <c r="G31" s="107" t="s">
        <v>6069</v>
      </c>
    </row>
    <row r="32" customFormat="false" ht="15" hidden="false" customHeight="true" outlineLevel="0" collapsed="false">
      <c r="B32" s="113" t="s">
        <v>6070</v>
      </c>
      <c r="C32" s="1365" t="n">
        <f aca="false">150/'Academy · Drivers'!C90</f>
        <v>1.0752688172043</v>
      </c>
      <c r="D32" s="1304" t="s">
        <v>6071</v>
      </c>
      <c r="E32" s="1305" t="s">
        <v>4302</v>
      </c>
      <c r="F32" s="691" t="s">
        <v>6068</v>
      </c>
      <c r="G32" s="107" t="s">
        <v>6072</v>
      </c>
    </row>
    <row r="33" customFormat="false" ht="15" hidden="false" customHeight="true" outlineLevel="0" collapsed="false">
      <c r="B33" s="113" t="s">
        <v>6073</v>
      </c>
      <c r="C33" s="1218" t="n">
        <f aca="false">'Academy · Costs'!C37</f>
        <v>1082048</v>
      </c>
      <c r="D33" s="1304" t="s">
        <v>5136</v>
      </c>
      <c r="E33" s="1305" t="s">
        <v>4302</v>
      </c>
      <c r="F33" s="691" t="s">
        <v>4315</v>
      </c>
      <c r="G33" s="107" t="s">
        <v>91</v>
      </c>
    </row>
    <row r="34" customFormat="false" ht="15" hidden="false" customHeight="true" outlineLevel="0" collapsed="false">
      <c r="B34" s="113" t="s">
        <v>6074</v>
      </c>
      <c r="C34" s="1218" t="n">
        <f aca="false">'Academy · 8-Year'!F11/'Academy · 8-Year'!E11-1</f>
        <v>0.03</v>
      </c>
      <c r="D34" s="1304" t="s">
        <v>6075</v>
      </c>
      <c r="E34" s="1305" t="s">
        <v>4330</v>
      </c>
      <c r="F34" s="691" t="s">
        <v>4315</v>
      </c>
      <c r="G34" s="107" t="s">
        <v>6076</v>
      </c>
    </row>
    <row r="35" customFormat="false" ht="15" hidden="false" customHeight="true" outlineLevel="0" collapsed="false">
      <c r="B35" s="6"/>
      <c r="F35" s="6"/>
    </row>
    <row r="36" customFormat="false" ht="21.75" hidden="false" customHeight="true" outlineLevel="0" collapsed="false">
      <c r="B36" s="43" t="s">
        <v>5173</v>
      </c>
      <c r="C36" s="43"/>
      <c r="D36" s="43"/>
      <c r="E36" s="43"/>
      <c r="F36" s="43"/>
      <c r="G36" s="43"/>
      <c r="H36" s="43"/>
      <c r="I36" s="43"/>
    </row>
    <row r="37" customFormat="false" ht="120" hidden="false" customHeight="true" outlineLevel="0" collapsed="false">
      <c r="B37" s="602" t="s">
        <v>6077</v>
      </c>
      <c r="C37" s="602"/>
      <c r="D37" s="602"/>
      <c r="E37" s="602"/>
      <c r="F37" s="602"/>
      <c r="G37" s="602"/>
      <c r="H37" s="602"/>
      <c r="I37" s="602"/>
    </row>
  </sheetData>
  <mergeCells count="7">
    <mergeCell ref="B2:F2"/>
    <mergeCell ref="G2:I2"/>
    <mergeCell ref="B3:I3"/>
    <mergeCell ref="B5:I5"/>
    <mergeCell ref="B23:I23"/>
    <mergeCell ref="B36:I36"/>
    <mergeCell ref="B37:I37"/>
  </mergeCells>
  <printOptions headings="false" gridLines="false" gridLinesSet="true" horizontalCentered="true" verticalCentered="false"/>
  <pageMargins left="0.5" right="0.5" top="0.6" bottom="0.6"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8D4"/>
    <pageSetUpPr fitToPage="true"/>
  </sheetPr>
  <dimension ref="B1:J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6" min="3" style="0" width="11"/>
    <col collapsed="false" customWidth="true" hidden="false" outlineLevel="0" max="11" min="7" style="0" width="20"/>
  </cols>
  <sheetData>
    <row r="1" customFormat="false" ht="3.75" hidden="false" customHeight="true" outlineLevel="0" collapsed="false">
      <c r="B1" s="1"/>
      <c r="C1" s="2"/>
      <c r="D1" s="2"/>
      <c r="E1" s="2"/>
      <c r="F1" s="1"/>
      <c r="G1" s="2"/>
      <c r="H1" s="2"/>
      <c r="I1" s="2"/>
      <c r="J1" s="2"/>
    </row>
    <row r="2" customFormat="false" ht="27.75" hidden="false" customHeight="true" outlineLevel="0" collapsed="false">
      <c r="B2" s="917" t="s">
        <v>4334</v>
      </c>
      <c r="C2" s="917"/>
      <c r="D2" s="917"/>
      <c r="E2" s="917"/>
      <c r="F2" s="917"/>
      <c r="G2" s="89" t="s">
        <v>3432</v>
      </c>
      <c r="H2" s="89"/>
      <c r="I2" s="89"/>
      <c r="J2" s="89"/>
    </row>
    <row r="3" customFormat="false" ht="33.75" hidden="false" customHeight="true" outlineLevel="0" collapsed="false">
      <c r="B3" s="90" t="s">
        <v>6078</v>
      </c>
      <c r="C3" s="90"/>
      <c r="D3" s="90"/>
      <c r="E3" s="90"/>
      <c r="F3" s="90"/>
      <c r="G3" s="90"/>
      <c r="H3" s="90"/>
      <c r="I3" s="90"/>
      <c r="J3" s="90"/>
    </row>
    <row r="4" customFormat="false" ht="15" hidden="false" customHeight="true" outlineLevel="0" collapsed="false">
      <c r="B4" s="6"/>
      <c r="F4" s="6"/>
    </row>
    <row r="5" customFormat="false" ht="21.75" hidden="false" customHeight="true" outlineLevel="0" collapsed="false">
      <c r="B5" s="575" t="s">
        <v>5176</v>
      </c>
      <c r="C5" s="575"/>
      <c r="D5" s="575"/>
      <c r="E5" s="575"/>
      <c r="F5" s="575"/>
      <c r="G5" s="575"/>
      <c r="H5" s="575"/>
    </row>
    <row r="6" customFormat="false" ht="19.5" hidden="false" customHeight="true" outlineLevel="0" collapsed="false">
      <c r="B6" s="97" t="s">
        <v>206</v>
      </c>
      <c r="C6" s="675" t="s">
        <v>2444</v>
      </c>
      <c r="D6" s="676" t="s">
        <v>203</v>
      </c>
      <c r="E6" s="677" t="s">
        <v>2445</v>
      </c>
      <c r="F6" s="99" t="s">
        <v>2446</v>
      </c>
    </row>
    <row r="7" customFormat="false" ht="15" hidden="false" customHeight="true" outlineLevel="0" collapsed="false">
      <c r="B7" s="113" t="s">
        <v>3236</v>
      </c>
      <c r="C7" s="1400" t="n">
        <f aca="false">MIN(('Academy · Drivers'!C42+'Academy · Drivers'!C46)*'Academy · Drivers'!C12*'Academy · Drivers'!C13*'Academy · Drivers'!C7,('Academy · Drivers'!C52/12)*'Academy · Drivers'!C8*'Academy · Drivers'!C55)/'Academy · Drivers'!C55</f>
        <v>175.5</v>
      </c>
      <c r="D7" s="533" t="n">
        <f aca="false">MIN(('Academy · Drivers'!C42+'Academy · Drivers'!C46)*'Academy · Drivers'!D12*'Academy · Drivers'!D13*'Academy · Drivers'!D7,('Academy · Drivers'!C52/12)*'Academy · Drivers'!D8*'Academy · Drivers'!C55)/'Academy · Drivers'!C55</f>
        <v>195</v>
      </c>
      <c r="E7" s="1401" t="n">
        <f aca="false">MIN(('Academy · Drivers'!C42+'Academy · Drivers'!C46)*'Academy · Drivers'!E12*'Academy · Drivers'!E13*'Academy · Drivers'!E7,('Academy · Drivers'!C52/12)*'Academy · Drivers'!E8*'Academy · Drivers'!C55)/'Academy · Drivers'!C55</f>
        <v>210.6</v>
      </c>
      <c r="F7" s="6"/>
    </row>
    <row r="8" customFormat="false" ht="15" hidden="false" customHeight="true" outlineLevel="0" collapsed="false">
      <c r="B8" s="126" t="s">
        <v>6079</v>
      </c>
      <c r="C8" s="1400" t="n">
        <f aca="false">('Academy · Drivers'!C42+'Academy · Drivers'!C46)*'Academy · Drivers'!C12*'Academy · Drivers'!C13*'Academy · Drivers'!C7</f>
        <v>32398.056</v>
      </c>
      <c r="D8" s="533" t="n">
        <f aca="false">('Academy · Drivers'!C42+'Academy · Drivers'!C46)*'Academy · Drivers'!D12*'Academy · Drivers'!D13*'Academy · Drivers'!D7</f>
        <v>48578.4</v>
      </c>
      <c r="E8" s="1401" t="n">
        <f aca="false">('Academy · Drivers'!C42+'Academy · Drivers'!C46)*'Academy · Drivers'!E12*'Academy · Drivers'!E13*'Academy · Drivers'!E7</f>
        <v>63301.392</v>
      </c>
      <c r="F8" s="6"/>
    </row>
    <row r="9" customFormat="false" ht="15" hidden="false" customHeight="true" outlineLevel="0" collapsed="false">
      <c r="B9" s="126" t="s">
        <v>6080</v>
      </c>
      <c r="C9" s="1400" t="n">
        <f aca="false">('Academy · Drivers'!C52/12)*'Academy · Drivers'!C8*'Academy · Drivers'!C55</f>
        <v>1404</v>
      </c>
      <c r="D9" s="533" t="n">
        <f aca="false">('Academy · Drivers'!C52/12)*'Academy · Drivers'!D8*'Academy · Drivers'!C55</f>
        <v>1560</v>
      </c>
      <c r="E9" s="1401" t="n">
        <f aca="false">('Academy · Drivers'!C52/12)*'Academy · Drivers'!E8*'Academy · Drivers'!C55</f>
        <v>1684.8</v>
      </c>
      <c r="F9" s="6"/>
    </row>
    <row r="10" customFormat="false" ht="15" hidden="false" customHeight="true" outlineLevel="0" collapsed="false">
      <c r="B10" s="113" t="s">
        <v>4983</v>
      </c>
      <c r="C10" s="1371" t="n">
        <f aca="false">(MIN((('Academy · Drivers'!C42+'Academy · Drivers'!C46)*'Academy · Drivers'!C12*'Academy · Drivers'!C13*'Academy · Drivers'!C7),('Academy · Drivers'!C52/12*'Academy · Drivers'!C8*'Academy · Drivers'!C55))/'Academy · Drivers'!C55)*('Academy · Drivers'!C10*(1-'Academy · Drivers'!C87)+'Academy · Drivers'!C88*'Academy · Drivers'!C87)*12+(MIN((('Academy · Drivers'!C42+'Academy · Drivers'!C46)*'Academy · Drivers'!C12*'Academy · Drivers'!C13*'Academy · Drivers'!C7),('Academy · Drivers'!C52/12*'Academy · Drivers'!C8*'Academy · Drivers'!C55))/'Academy · Drivers'!C55)*0.3*'Academy · Drivers'!C11*12/'Academy · Drivers'!C9+'Academy · Drivers'!C14*'Academy · Drivers'!C15*12+'Academy · Drivers'!C16*'Academy · Drivers'!C18*'Academy · Drivers'!C17*12+'Academy · Drivers'!C19*'Academy · Drivers'!C20*12+(MIN((('Academy · Drivers'!C42+'Academy · Drivers'!C46)*'Academy · Drivers'!C12*'Academy · Drivers'!C13*'Academy · Drivers'!C7),('Academy · Drivers'!C52/12*'Academy · Drivers'!C8*'Academy · Drivers'!C55))/'Academy · Drivers'!C55)*0.5*'Academy · Drivers'!C13*2*12+('Academy · Drivers'!C93*'Academy · Drivers'!C94*'Academy · Drivers'!C95)+('Academy · Drivers'!C93*'Academy · Drivers'!C94*'Academy · Drivers'!C96*'Academy · Drivers'!C97*'Academy · Drivers'!C98*'Academy · Drivers'!C100*'Academy · Drivers'!C99)+'Academy · Drivers'!C212*'Academy · Drivers'!C213*'Academy · Drivers'!C214+'Academy · Drivers'!C215*'Academy · Drivers'!C216+'Academy · Drivers'!C231*'Academy · Drivers'!C232+'Academy · Drivers'!C231*'Academy · Drivers'!C233*'Academy · Drivers'!C234+'Academy · Drivers'!C238*'Academy · Drivers'!C240</f>
        <v>1107195.85</v>
      </c>
      <c r="D10" s="406" t="n">
        <f aca="false">(MIN((('Academy · Drivers'!C42+'Academy · Drivers'!C46)*'Academy · Drivers'!D12*'Academy · Drivers'!D13*'Academy · Drivers'!D7),('Academy · Drivers'!C52/12*'Academy · Drivers'!D8*'Academy · Drivers'!C55))/'Academy · Drivers'!C55)*('Academy · Drivers'!D10*(1-'Academy · Drivers'!C87)+'Academy · Drivers'!D88*'Academy · Drivers'!C87)*12+(MIN((('Academy · Drivers'!C42+'Academy · Drivers'!C46)*'Academy · Drivers'!D12*'Academy · Drivers'!D13*'Academy · Drivers'!D7),('Academy · Drivers'!C52/12*'Academy · Drivers'!D8*'Academy · Drivers'!C55))/'Academy · Drivers'!C55)*0.3*'Academy · Drivers'!D11*12/'Academy · Drivers'!D9+'Academy · Drivers'!D14*'Academy · Drivers'!D15*12+'Academy · Drivers'!D16*'Academy · Drivers'!D18*'Academy · Drivers'!D17*12+'Academy · Drivers'!D19*'Academy · Drivers'!D20*12+(MIN((('Academy · Drivers'!C42+'Academy · Drivers'!C46)*'Academy · Drivers'!D12*'Academy · Drivers'!D13*'Academy · Drivers'!D7),('Academy · Drivers'!C52/12*'Academy · Drivers'!D8*'Academy · Drivers'!C55))/'Academy · Drivers'!C55)*0.5*'Academy · Drivers'!D13*2*12+('Academy · Drivers'!D93*'Academy · Drivers'!D94*'Academy · Drivers'!D95)+('Academy · Drivers'!D93*'Academy · Drivers'!D94*'Academy · Drivers'!D96*'Academy · Drivers'!D97*'Academy · Drivers'!D98*'Academy · Drivers'!D100*'Academy · Drivers'!D99)+'Academy · Drivers'!D212*'Academy · Drivers'!D213*'Academy · Drivers'!D214+'Academy · Drivers'!D215*'Academy · Drivers'!D216+'Academy · Drivers'!D231*'Academy · Drivers'!D232+'Academy · Drivers'!D231*'Academy · Drivers'!D233*'Academy · Drivers'!D234+'Academy · Drivers'!D238*'Academy · Drivers'!D240</f>
        <v>1595070</v>
      </c>
      <c r="E10" s="1402" t="n">
        <f aca="false">(MIN((('Academy · Drivers'!C42+'Academy · Drivers'!C46)*'Academy · Drivers'!E12*'Academy · Drivers'!E13*'Academy · Drivers'!E7),('Academy · Drivers'!C52/12*'Academy · Drivers'!E8*'Academy · Drivers'!C55))/'Academy · Drivers'!C55)*('Academy · Drivers'!E10*(1-'Academy · Drivers'!C87)+'Academy · Drivers'!E88*'Academy · Drivers'!C87)*12+(MIN((('Academy · Drivers'!C42+'Academy · Drivers'!C46)*'Academy · Drivers'!E12*'Academy · Drivers'!E13*'Academy · Drivers'!E7),('Academy · Drivers'!C52/12*'Academy · Drivers'!E8*'Academy · Drivers'!C55))/'Academy · Drivers'!C55)*0.3*'Academy · Drivers'!E11*12/'Academy · Drivers'!E9+'Academy · Drivers'!E14*'Academy · Drivers'!E15*12+'Academy · Drivers'!E16*'Academy · Drivers'!E18*'Academy · Drivers'!E17*12+'Academy · Drivers'!E19*'Academy · Drivers'!E20*12+(MIN((('Academy · Drivers'!C42+'Academy · Drivers'!C46)*'Academy · Drivers'!E12*'Academy · Drivers'!E13*'Academy · Drivers'!E7),('Academy · Drivers'!C52/12*'Academy · Drivers'!E8*'Academy · Drivers'!C55))/'Academy · Drivers'!C55)*0.5*'Academy · Drivers'!E13*2*12+('Academy · Drivers'!E93*'Academy · Drivers'!E94*'Academy · Drivers'!E95)+('Academy · Drivers'!E93*'Academy · Drivers'!E94*'Academy · Drivers'!E96*'Academy · Drivers'!E97*'Academy · Drivers'!E98*'Academy · Drivers'!E100*'Academy · Drivers'!E99)+'Academy · Drivers'!E212*'Academy · Drivers'!E213*'Academy · Drivers'!E214+'Academy · Drivers'!E215*'Academy · Drivers'!E216+'Academy · Drivers'!E231*'Academy · Drivers'!E232+'Academy · Drivers'!E231*'Academy · Drivers'!E233*'Academy · Drivers'!E234+'Academy · Drivers'!E238*'Academy · Drivers'!E240</f>
        <v>2036298.84</v>
      </c>
      <c r="F10" s="692" t="n">
        <f aca="false">E10/C10</f>
        <v>1.83914963192826</v>
      </c>
    </row>
    <row r="11" customFormat="false" ht="15" hidden="false" customHeight="true" outlineLevel="0" collapsed="false">
      <c r="B11" s="113" t="s">
        <v>6081</v>
      </c>
      <c r="C11" s="598" t="n">
        <f aca="false">('Academy · Drivers'!C10*(1-'Academy · Drivers'!C87)+'Academy · Drivers'!C88*'Academy · Drivers'!C87)*'Academy · Drivers'!C9</f>
        <v>1073.925</v>
      </c>
      <c r="D11" s="544" t="n">
        <f aca="false">('Academy · Drivers'!D10*(1-'Academy · Drivers'!C87)+'Academy · Drivers'!D88*'Academy · Drivers'!C87)*'Academy · Drivers'!D9</f>
        <v>1395</v>
      </c>
      <c r="E11" s="1311" t="n">
        <f aca="false">('Academy · Drivers'!E10*(1-'Academy · Drivers'!C87)+'Academy · Drivers'!E88*'Academy · Drivers'!C87)*'Academy · Drivers'!E9</f>
        <v>1421.55</v>
      </c>
      <c r="F11" s="692" t="n">
        <f aca="false">E11/C11</f>
        <v>1.32369578881207</v>
      </c>
    </row>
    <row r="12" customFormat="false" ht="15" hidden="false" customHeight="true" outlineLevel="0" collapsed="false">
      <c r="B12" s="6"/>
      <c r="F12" s="6"/>
    </row>
    <row r="13" customFormat="false" ht="15" hidden="false" customHeight="true" outlineLevel="0" collapsed="false">
      <c r="B13" s="6"/>
      <c r="F13" s="6"/>
    </row>
    <row r="14" customFormat="false" ht="21.75" hidden="false" customHeight="true" outlineLevel="0" collapsed="false">
      <c r="B14" s="96" t="s">
        <v>2447</v>
      </c>
      <c r="C14" s="96"/>
      <c r="D14" s="96"/>
      <c r="E14" s="96"/>
      <c r="F14" s="96"/>
      <c r="G14" s="96"/>
      <c r="H14" s="96"/>
    </row>
    <row r="15" customFormat="false" ht="15" hidden="false" customHeight="true" outlineLevel="0" collapsed="false">
      <c r="B15" s="97" t="s">
        <v>738</v>
      </c>
      <c r="C15" s="98" t="s">
        <v>962</v>
      </c>
      <c r="D15" s="98" t="s">
        <v>207</v>
      </c>
      <c r="E15" s="98" t="s">
        <v>2448</v>
      </c>
      <c r="F15" s="6"/>
    </row>
    <row r="16" customFormat="false" ht="15" hidden="false" customHeight="true" outlineLevel="0" collapsed="false">
      <c r="B16" s="113" t="s">
        <v>2449</v>
      </c>
      <c r="C16" s="696" t="n">
        <v>0.2</v>
      </c>
      <c r="D16" s="1316" t="n">
        <f aca="false">C10</f>
        <v>1107195.85</v>
      </c>
      <c r="E16" s="544" t="n">
        <f aca="false">C16*D16</f>
        <v>221439.17</v>
      </c>
      <c r="F16" s="6"/>
    </row>
    <row r="17" customFormat="false" ht="15" hidden="false" customHeight="true" outlineLevel="0" collapsed="false">
      <c r="B17" s="113" t="s">
        <v>2283</v>
      </c>
      <c r="C17" s="696" t="n">
        <v>0.55</v>
      </c>
      <c r="D17" s="1316" t="n">
        <f aca="false">D10</f>
        <v>1595070</v>
      </c>
      <c r="E17" s="544" t="n">
        <f aca="false">C17*D17</f>
        <v>877288.5</v>
      </c>
      <c r="F17" s="6"/>
    </row>
    <row r="18" customFormat="false" ht="15" hidden="false" customHeight="true" outlineLevel="0" collapsed="false">
      <c r="B18" s="113" t="s">
        <v>2450</v>
      </c>
      <c r="C18" s="696" t="n">
        <v>0.25</v>
      </c>
      <c r="D18" s="1316" t="n">
        <f aca="false">E10</f>
        <v>2036298.84</v>
      </c>
      <c r="E18" s="544" t="n">
        <f aca="false">C18*D18</f>
        <v>509074.71</v>
      </c>
      <c r="F18" s="6"/>
    </row>
    <row r="19" customFormat="false" ht="15" hidden="false" customHeight="true" outlineLevel="0" collapsed="false">
      <c r="B19" s="6" t="s">
        <v>342</v>
      </c>
      <c r="C19" s="698" t="n">
        <f aca="false">SUM(C16:C18)</f>
        <v>1</v>
      </c>
      <c r="F19" s="6"/>
    </row>
    <row r="20" customFormat="false" ht="15" hidden="false" customHeight="true" outlineLevel="0" collapsed="false">
      <c r="B20" s="6"/>
      <c r="F20" s="6"/>
    </row>
    <row r="21" customFormat="false" ht="27.75" hidden="false" customHeight="true" outlineLevel="0" collapsed="false">
      <c r="B21" s="699" t="s">
        <v>5179</v>
      </c>
      <c r="E21" s="578" t="n">
        <f aca="false">SUM(E16:E18)</f>
        <v>1607802.38</v>
      </c>
      <c r="F21" s="6"/>
    </row>
  </sheetData>
  <mergeCells count="5">
    <mergeCell ref="B2:F2"/>
    <mergeCell ref="G2:J2"/>
    <mergeCell ref="B3:J3"/>
    <mergeCell ref="B5:H5"/>
    <mergeCell ref="B14:H14"/>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2026-05-18T13:19:36Z</dcterms:created>
  <dc:creator>openpyxl</dc:creator>
  <dc:description/>
  <dc:language>en-US</dc:language>
  <cp:lastModifiedBy>Toufic Assaf</cp:lastModifiedBy>
  <dcterms:modified xsi:type="dcterms:W3CDTF">2026-05-18T13:29:16Z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