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ADME" sheetId="1" state="visible" r:id="rId3"/>
    <sheet name="Cover &amp; Outputs" sheetId="2" state="visible" r:id="rId4"/>
    <sheet name="Assumptions" sheetId="3" state="visible" r:id="rId5"/>
    <sheet name="Scenarios" sheetId="4" state="visible" r:id="rId6"/>
    <sheet name="Revenue Build" sheetId="5" state="visible" r:id="rId7"/>
    <sheet name="OpEx &amp; Costs" sheetId="6" state="visible" r:id="rId8"/>
    <sheet name="CapEx Schedule" sheetId="7" state="visible" r:id="rId9"/>
    <sheet name="P&amp;L" sheetId="8" state="visible" r:id="rId10"/>
    <sheet name="Cash Flow" sheetId="9" state="visible" r:id="rId11"/>
    <sheet name="Balance Sheet" sheetId="10" state="visible" r:id="rId12"/>
    <sheet name="Investor Returns" sheetId="11" state="visible" r:id="rId13"/>
    <sheet name="Sensitivity" sheetId="12" state="visible" r:id="rId14"/>
    <sheet name="Comps &amp; Exit" sheetId="13" state="visible" r:id="rId1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<sst xmlns="http://schemas.openxmlformats.org/spreadsheetml/2006/main" count="572" uniqueCount="435">
  <si>
    <t xml:space="preserve">PIXOUL MOROCCO</t>
  </si>
  <si>
    <t xml:space="preserve">Casablanca Flagship · Investor-Grade Financial Model</t>
  </si>
  <si>
    <t xml:space="preserve">Version 2.0 · April 2026 · Confidential</t>
  </si>
  <si>
    <t xml:space="preserve">COLOR CODING CONVENTIONS</t>
  </si>
  <si>
    <t xml:space="preserve">Blue text</t>
  </si>
  <si>
    <t xml:space="preserve">Hardcoded INPUT — change these to drive the model</t>
  </si>
  <si>
    <t xml:space="preserve">Black text</t>
  </si>
  <si>
    <t xml:space="preserve">FORMULA / calculation — do not edit</t>
  </si>
  <si>
    <t xml:space="preserve">Green text</t>
  </si>
  <si>
    <t xml:space="preserve">CROSS-SHEET LINK — pulls from another tab</t>
  </si>
  <si>
    <t xml:space="preserve">Yellow background</t>
  </si>
  <si>
    <t xml:space="preserve">Key assumption flagged for sensitivity testing</t>
  </si>
  <si>
    <t xml:space="preserve">SHEET INDEX</t>
  </si>
  <si>
    <t xml:space="preserve">1. README</t>
  </si>
  <si>
    <t xml:space="preserve">This sheet — conventions, navigation, model summary</t>
  </si>
  <si>
    <t xml:space="preserve">2. Cover &amp; Outputs</t>
  </si>
  <si>
    <t xml:space="preserve">Headline results — IRR, MOIC, payback, key sensitivities</t>
  </si>
  <si>
    <t xml:space="preserve">3. Assumptions</t>
  </si>
  <si>
    <t xml:space="preserve">All driver inputs (BLUE) — single source of truth</t>
  </si>
  <si>
    <t xml:space="preserve">4. Scenarios</t>
  </si>
  <si>
    <t xml:space="preserve">Bear / Base / Bull / Stress / Custom — toggle here</t>
  </si>
  <si>
    <t xml:space="preserve">5. Revenue Build</t>
  </si>
  <si>
    <t xml:space="preserve">6-pillar revenue model with monthly ramp</t>
  </si>
  <si>
    <t xml:space="preserve">6. OpEx &amp; Costs</t>
  </si>
  <si>
    <t xml:space="preserve">Direct costs + shared OpEx + headcount</t>
  </si>
  <si>
    <t xml:space="preserve">7. CapEx Schedule</t>
  </si>
  <si>
    <t xml:space="preserve">$12M phased CapEx with depreciation schedule</t>
  </si>
  <si>
    <t xml:space="preserve">8. P&amp;L</t>
  </si>
  <si>
    <t xml:space="preserve">Y1-Y5 Income Statement (3-statement linkage)</t>
  </si>
  <si>
    <t xml:space="preserve">9. Cash Flow</t>
  </si>
  <si>
    <t xml:space="preserve">Y1-Y5 Cash Flow Statement</t>
  </si>
  <si>
    <t xml:space="preserve">10. Balance Sheet</t>
  </si>
  <si>
    <t xml:space="preserve">Y1-Y5 Balance Sheet (BS = A — L — E check)</t>
  </si>
  <si>
    <t xml:space="preserve">11. Investor Returns</t>
  </si>
  <si>
    <t xml:space="preserve">IRR waterfall, MOIC, dividends, exit equity</t>
  </si>
  <si>
    <t xml:space="preserve">12. Sensitivity</t>
  </si>
  <si>
    <t xml:space="preserve">IRR vs revenue/margin · 2-way data table</t>
  </si>
  <si>
    <t xml:space="preserve">13. Comps &amp; Exit</t>
  </si>
  <si>
    <t xml:space="preserve">Comparable transaction multiples + exit valuation</t>
  </si>
  <si>
    <t xml:space="preserve">PIXOUL MOROCCO · INVESTOR DASHBOARD</t>
  </si>
  <si>
    <t xml:space="preserve">All figures pull live from Assumptions + Scenarios sheets</t>
  </si>
  <si>
    <t xml:space="preserve">KEY HEADLINE METRICS</t>
  </si>
  <si>
    <t xml:space="preserve">Year-3 Revenue ($K)</t>
  </si>
  <si>
    <t xml:space="preserve">Year-3 EBITDA ($K)</t>
  </si>
  <si>
    <t xml:space="preserve">Year-3 EBITDA Margin</t>
  </si>
  <si>
    <t xml:space="preserve">Year-3 Net Profit ($K)</t>
  </si>
  <si>
    <t xml:space="preserve">Year-3 Dividend ($K)</t>
  </si>
  <si>
    <t xml:space="preserve">Phase 1 IRR (5-yr)</t>
  </si>
  <si>
    <t xml:space="preserve">Phase 1 MOIC</t>
  </si>
  <si>
    <t xml:space="preserve">Cash Payback (years)</t>
  </si>
  <si>
    <t xml:space="preserve">5-YEAR PROJECTION SUMMARY</t>
  </si>
  <si>
    <t xml:space="preserve">Metric ($K)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</si>
  <si>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</si>
  <si>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</si>
  <si>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</si>
  <si>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</si>
  <si>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</si>
  <si>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Revenue</t>
  </si>
  <si>
    <t xml:space="preserve">Direct Costs</t>
  </si>
  <si>
    <t xml:space="preserve">Gross Profit</t>
  </si>
  <si>
    <t xml:space="preserve">OpEx</t>
  </si>
  <si>
    <t xml:space="preserve">EBITDA</t>
  </si>
  <si>
    <t xml:space="preserve">D&amp;A</t>
  </si>
  <si>
    <t xml:space="preserve">Tax</t>
  </si>
  <si>
    <t xml:space="preserve">Net Profit</t>
  </si>
  <si>
    <t xml:space="preserve">Dividend (85%)</t>
  </si>
  <si>
    <t xml:space="preserve">ASSUMPTIONS · DRIVER INPUTS</t>
  </si>
  <si>
    <t xml:space="preserve">All BLUE cells are hardcoded inputs. Change these to drive the model.</t>
  </si>
  <si>
    <t xml:space="preserve">Driver</t>
  </si>
  <si>
    <t xml:space="preserve">Value</t>
  </si>
  <si>
    <t xml:space="preserve">Unit</t>
  </si>
  <si>
    <t xml:space="preserve">Notes / Source</t>
  </si>
  <si>
    <t xml:space="preserve">── VENUE ──</t>
  </si>
  <si>
    <t xml:space="preserve">Total venue size</t>
  </si>
  <si>
    <t xml:space="preserve">m²</t>
  </si>
  <si>
    <t xml:space="preserve">Premises across 3 floors</t>
  </si>
  <si>
    <t xml:space="preserve">Rooftop size (separate sublease)</t>
  </si>
  <si>
    <t xml:space="preserve">Sub-let to F&amp;B operator at 150% pass-through</t>
  </si>
  <si>
    <t xml:space="preserve">Operating days per year</t>
  </si>
  <si>
    <t xml:space="preserve">days</t>
  </si>
  <si>
    <t xml:space="preserve">7 days / 7 closure for renovation</t>
  </si>
  <si>
    <t xml:space="preserve">── GAMING &amp; ENTERTAINMENT ──</t>
  </si>
  <si>
    <t xml:space="preserve">Weekly footfall (visitors)</t>
  </si>
  <si>
    <t xml:space="preserve">#</t>
  </si>
  <si>
    <t xml:space="preserve">Pixoul Abu Dhabi: 700+/week. Casa target full-ramp.</t>
  </si>
  <si>
    <t xml:space="preserve">Blended spend per visit</t>
  </si>
  <si>
    <t xml:space="preserve">$</t>
  </si>
  <si>
    <t xml:space="preserve">Arcade + sims + redemption blended</t>
  </si>
  <si>
    <t xml:space="preserve">Kids playground entry fee</t>
  </si>
  <si>
    <t xml:space="preserve">Standalone fee, parents pay separately</t>
  </si>
  <si>
    <t xml:space="preserve">Kids weekly footfall</t>
  </si>
  <si>
    <t xml:space="preserve">Standalone visitor count</t>
  </si>
  <si>
    <t xml:space="preserve">EVA VR occupancy</t>
  </si>
  <si>
    <t xml:space="preserve">%</t>
  </si>
  <si>
    <t xml:space="preserve">Free-roam VR — Zero Latency benchmark 30-50%</t>
  </si>
  <si>
    <t xml:space="preserve">EVA sessions per day</t>
  </si>
  <si>
    <t xml:space="preserve">45-min turnover, max 21/day</t>
  </si>
  <si>
    <t xml:space="preserve">Museum weekly footfall</t>
  </si>
  <si>
    <t xml:space="preserve">Tech museum, school partnerships drive</t>
  </si>
  <si>
    <t xml:space="preserve">── ACADEMY ──</t>
  </si>
  <si>
    <t xml:space="preserve">Course fee (avg)</t>
  </si>
  <si>
    <t xml:space="preserve">GoMyCode benchmark $600-900</t>
  </si>
  <si>
    <t xml:space="preserve">Cohort size</t>
  </si>
  <si>
    <t xml:space="preserve">Max room capacity 20</t>
  </si>
  <si>
    <t xml:space="preserve">Course runs per year</t>
  </si>
  <si>
    <t xml:space="preserve">Across 6 classrooms</t>
  </si>
  <si>
    <t xml:space="preserve">Corporate day rate</t>
  </si>
  <si>
    <t xml:space="preserve">Casa B2B premium</t>
  </si>
  <si>
    <t xml:space="preserve">Corporate training days</t>
  </si>
  <si>
    <t xml:space="preserve">BD capacity dependent</t>
  </si>
  <si>
    <t xml:space="preserve">Diploma fee</t>
  </si>
  <si>
    <t xml:space="preserve">6 diploma programs</t>
  </si>
  <si>
    <t xml:space="preserve">Summer camp fee</t>
  </si>
  <si>
    <t xml:space="preserve">Per camp</t>
  </si>
  <si>
    <t xml:space="preserve">Summer camp runs</t>
  </si>
  <si>
    <t xml:space="preserve">Across summer months</t>
  </si>
  <si>
    <t xml:space="preserve">School partnerships</t>
  </si>
  <si>
    <t xml:space="preserve">15 schools × $15K/year</t>
  </si>
  <si>
    <t xml:space="preserve">School partnership fee</t>
  </si>
  <si>
    <t xml:space="preserve">Annual contract</t>
  </si>
  <si>
    <t xml:space="preserve">── EVENTS ──</t>
  </si>
  <si>
    <t xml:space="preserve">Total events per year</t>
  </si>
  <si>
    <t xml:space="preserve">5 categories: birthdays, corporate, weddings, esports, brand</t>
  </si>
  <si>
    <t xml:space="preserve">Avg event revenue</t>
  </si>
  <si>
    <t xml:space="preserve">Blended average</t>
  </si>
  <si>
    <t xml:space="preserve">── ESPORTS ──</t>
  </si>
  <si>
    <t xml:space="preserve">Number of PCs</t>
  </si>
  <si>
    <t xml:space="preserve">BenQ XL2566K official partner</t>
  </si>
  <si>
    <t xml:space="preserve">PC hourly rate</t>
  </si>
  <si>
    <t xml:space="preserve">$/hr</t>
  </si>
  <si>
    <t xml:space="preserve">Casa benchmark</t>
  </si>
  <si>
    <t xml:space="preserve">PC occupancy</t>
  </si>
  <si>
    <t xml:space="preserve">Avg utilization weekday + peak weekend</t>
  </si>
  <si>
    <t xml:space="preserve">Bootcamps per year</t>
  </si>
  <si>
    <t xml:space="preserve">Riot LoL Arabian League host</t>
  </si>
  <si>
    <t xml:space="preserve">Bootcamp revenue</t>
  </si>
  <si>
    <t xml:space="preserve">Per bootcamp</t>
  </si>
  <si>
    <t xml:space="preserve">── F&amp;B / RETAIL / MEMBERSHIPS ──</t>
  </si>
  <si>
    <t xml:space="preserve">F&amp;B daily footfall</t>
  </si>
  <si>
    <t xml:space="preserve">Sports bar + candy + birthdays</t>
  </si>
  <si>
    <t xml:space="preserve">F&amp;B avg ticket</t>
  </si>
  <si>
    <t xml:space="preserve">Per visitor</t>
  </si>
  <si>
    <t xml:space="preserve">Retail subleases (3 units)</t>
  </si>
  <si>
    <t xml:space="preserve">$/yr</t>
  </si>
  <si>
    <t xml:space="preserve">3 × $24K avg annual</t>
  </si>
  <si>
    <t xml:space="preserve">Annual memberships</t>
  </si>
  <si>
    <t xml:space="preserve">Gym-model</t>
  </si>
  <si>
    <t xml:space="preserve">Membership fee</t>
  </si>
  <si>
    <t xml:space="preserve">Per member</t>
  </si>
  <si>
    <t xml:space="preserve">Sponsorships</t>
  </si>
  <si>
    <t xml:space="preserve">Brand partnerships</t>
  </si>
  <si>
    <t xml:space="preserve">Rooftop net rent income</t>
  </si>
  <si>
    <t xml:space="preserve">Margin on sublease</t>
  </si>
  <si>
    <t xml:space="preserve">── COSTS ──</t>
  </si>
  <si>
    <t xml:space="preserve">Annual rent</t>
  </si>
  <si>
    <t xml:space="preserve">Head lease</t>
  </si>
  <si>
    <t xml:space="preserve">Admin &amp; overhead salaries</t>
  </si>
  <si>
    <t xml:space="preserve">Core team excl. instructors</t>
  </si>
  <si>
    <t xml:space="preserve">Utilities</t>
  </si>
  <si>
    <t xml:space="preserve">Electricity + water + HVAC</t>
  </si>
  <si>
    <t xml:space="preserve">Insurance</t>
  </si>
  <si>
    <t xml:space="preserve">Premises + liability</t>
  </si>
  <si>
    <t xml:space="preserve">IT / SaaS</t>
  </si>
  <si>
    <t xml:space="preserve">Booking, POS, accounting</t>
  </si>
  <si>
    <t xml:space="preserve">Maintenance</t>
  </si>
  <si>
    <t xml:space="preserve">Equipment replacement reserve</t>
  </si>
  <si>
    <t xml:space="preserve">Marketing (% of revenue)</t>
  </si>
  <si>
    <t xml:space="preserve">Industry norm: 8-12% Y1, 5-7% ongoing</t>
  </si>
  <si>
    <t xml:space="preserve">Management fee (% of revenue)</t>
  </si>
  <si>
    <t xml:space="preserve">Pixoul HQ</t>
  </si>
  <si>
    <t xml:space="preserve">Game updates / IP refresh</t>
  </si>
  <si>
    <t xml:space="preserve">Annual content refresh</t>
  </si>
  <si>
    <t xml:space="preserve">Equipment replacement</t>
  </si>
  <si>
    <t xml:space="preserve">Reserve build</t>
  </si>
  <si>
    <t xml:space="preserve">Variable cost ratio (gaming)</t>
  </si>
  <si>
    <t xml:space="preserve">Direct costs: prizes, consumables</t>
  </si>
  <si>
    <t xml:space="preserve">Variable cost ratio (academy)</t>
  </si>
  <si>
    <t xml:space="preserve">Instructor pay, materials</t>
  </si>
  <si>
    <t xml:space="preserve">Variable cost ratio (events)</t>
  </si>
  <si>
    <t xml:space="preserve">Catering, decor, staff overtime</t>
  </si>
  <si>
    <t xml:space="preserve">Variable cost ratio (esports)</t>
  </si>
  <si>
    <t xml:space="preserve">Tournament prizes, casters</t>
  </si>
  <si>
    <t xml:space="preserve">Variable cost ratio (F&amp;B)</t>
  </si>
  <si>
    <t xml:space="preserve">COGS on F&amp;B</t>
  </si>
  <si>
    <t xml:space="preserve">── CAPEX &amp; D&amp;A ──</t>
  </si>
  <si>
    <t xml:space="preserve">Total CapEx</t>
  </si>
  <si>
    <t xml:space="preserve">$12M total project budget</t>
  </si>
  <si>
    <t xml:space="preserve">Blended depreciation life</t>
  </si>
  <si>
    <t xml:space="preserve">yrs</t>
  </si>
  <si>
    <t xml:space="preserve">Weighted avg of equipment 5y, fitout 7y, software 3y, other 10y</t>
  </si>
  <si>
    <t xml:space="preserve">Working capital % of revenue</t>
  </si>
  <si>
    <t xml:space="preserve">Inventory + receivables</t>
  </si>
  <si>
    <t xml:space="preserve">── TAX &amp; FINANCING ──</t>
  </si>
  <si>
    <t xml:space="preserve">Corporate tax rate (Morocco IS)</t>
  </si>
  <si>
    <t xml:space="preserve">Standard rate</t>
  </si>
  <si>
    <t xml:space="preserve">Dividend payout ratio</t>
  </si>
  <si>
    <t xml:space="preserve">85% of post-tax net to investors</t>
  </si>
  <si>
    <t xml:space="preserve">Inflation rate (annual)</t>
  </si>
  <si>
    <t xml:space="preserve">Morocco CPI long-run</t>
  </si>
  <si>
    <t xml:space="preserve">Y1 ramp factor</t>
  </si>
  <si>
    <t xml:space="preserve">Year 1 = 55% of mature revenue</t>
  </si>
  <si>
    <t xml:space="preserve">Y2 ramp factor</t>
  </si>
  <si>
    <t xml:space="preserve">Year 2 = 80%</t>
  </si>
  <si>
    <t xml:space="preserve">Y3 ramp factor</t>
  </si>
  <si>
    <t xml:space="preserve">Year 3 = mature 100%</t>
  </si>
  <si>
    <t xml:space="preserve">Y4 growth rate</t>
  </si>
  <si>
    <t xml:space="preserve">Y4 = +10% over Y3</t>
  </si>
  <si>
    <t xml:space="preserve">Y5 growth rate</t>
  </si>
  <si>
    <t xml:space="preserve">Y5 = +10% over Y4</t>
  </si>
  <si>
    <t xml:space="preserve">── INVESTOR RETURNS ──</t>
  </si>
  <si>
    <t xml:space="preserve">Phase 1 investment</t>
  </si>
  <si>
    <t xml:space="preserve">$4M anchor commitment</t>
  </si>
  <si>
    <t xml:space="preserve">Phase 1 pre-money</t>
  </si>
  <si>
    <t xml:space="preserve">Pre-money valuation</t>
  </si>
  <si>
    <t xml:space="preserve">Phase 1 equity %</t>
  </si>
  <si>
    <t xml:space="preserve">Calculated: 4/(12+4)</t>
  </si>
  <si>
    <t xml:space="preserve">Exit multiple (EV/EBITDA)</t>
  </si>
  <si>
    <t xml:space="preserve">x</t>
  </si>
  <si>
    <t xml:space="preserve">MENA edutainment comp range 6-10x</t>
  </si>
  <si>
    <t xml:space="preserve">Hold period</t>
  </si>
  <si>
    <t xml:space="preserve">Years until exit</t>
  </si>
  <si>
    <t xml:space="preserve">SCENARIO ENGINE</t>
  </si>
  <si>
    <t xml:space="preserve">Toggle the active scenario in cell C5. All sheets update automatically.</t>
  </si>
  <si>
    <t xml:space="preserve">ACTIVE SCENARIO</t>
  </si>
  <si>
    <t xml:space="preserve">Base</t>
  </si>
  <si>
    <t xml:space="preserve">← Change to: Bear, Base, Bull, Stress</t>
  </si>
  <si>
    <t xml:space="preserve">Bear</t>
  </si>
  <si>
    <t xml:space="preserve">Bull</t>
  </si>
  <si>
    <t xml:space="preserve">Stress</t>
  </si>
  <si>
    <t xml:space="preserve">Footfall multiplier</t>
  </si>
  <si>
    <t xml:space="preserve">Spend per visit multiplier</t>
  </si>
  <si>
    <t xml:space="preserve">Academy demand multiplier</t>
  </si>
  <si>
    <t xml:space="preserve">OpEx multiplier</t>
  </si>
  <si>
    <t xml:space="preserve">Marketing % override</t>
  </si>
  <si>
    <t xml:space="preserve">Y1 ramp</t>
  </si>
  <si>
    <t xml:space="preserve">Exit multiple override</t>
  </si>
  <si>
    <t xml:space="preserve">ACTIVE SCENARIO VALUES (auto-pulled)</t>
  </si>
  <si>
    <t xml:space="preserve">Footfall mult</t>
  </si>
  <si>
    <t xml:space="preserve">Spend mult</t>
  </si>
  <si>
    <t xml:space="preserve">Academy mult</t>
  </si>
  <si>
    <t xml:space="preserve">OpEx mult</t>
  </si>
  <si>
    <t xml:space="preserve">Exit multiple</t>
  </si>
  <si>
    <t xml:space="preserve">REVENUE BUILD · 6 PILLARS</t>
  </si>
  <si>
    <t xml:space="preserve">Mature (Y3 100%) capacity, then scaled by ramp + scenario multipliers</t>
  </si>
  <si>
    <t xml:space="preserve">Pillar / Driver</t>
  </si>
  <si>
    <t xml:space="preserve">Mature ($)</t>
  </si>
  <si>
    <t xml:space="preserve">GAMING &amp; ENTERTAINMENT</t>
  </si>
  <si>
    <t xml:space="preserve">  Arcade + sims + redemption</t>
  </si>
  <si>
    <t xml:space="preserve">  Kids playground</t>
  </si>
  <si>
    <t xml:space="preserve">  EVA VR free-roam</t>
  </si>
  <si>
    <t xml:space="preserve">  Museum</t>
  </si>
  <si>
    <t xml:space="preserve">  Gaming Subtotal</t>
  </si>
  <si>
    <t xml:space="preserve">ACADEMY</t>
  </si>
  <si>
    <t xml:space="preserve">  Courses (group)</t>
  </si>
  <si>
    <t xml:space="preserve">  Corporate training</t>
  </si>
  <si>
    <t xml:space="preserve">  Diplomas (18 runs/yr blended)</t>
  </si>
  <si>
    <t xml:space="preserve">  Summer camps</t>
  </si>
  <si>
    <t xml:space="preserve">  School partnerships</t>
  </si>
  <si>
    <t xml:space="preserve">  Academy Subtotal</t>
  </si>
  <si>
    <t xml:space="preserve">EVENTS</t>
  </si>
  <si>
    <t xml:space="preserve">  Total events × avg revenue</t>
  </si>
  <si>
    <t xml:space="preserve">ESPORTS</t>
  </si>
  <si>
    <t xml:space="preserve">  PC rentals</t>
  </si>
  <si>
    <t xml:space="preserve">  Bootcamps</t>
  </si>
  <si>
    <t xml:space="preserve">  Esports Subtotal</t>
  </si>
  <si>
    <t xml:space="preserve">F&amp;B / RETAIL / MEMBERSHIPS</t>
  </si>
  <si>
    <t xml:space="preserve">  F&amp;B daily</t>
  </si>
  <si>
    <t xml:space="preserve">  Retail subleases</t>
  </si>
  <si>
    <t xml:space="preserve">  Memberships</t>
  </si>
  <si>
    <t xml:space="preserve">  Sponsorships</t>
  </si>
  <si>
    <t xml:space="preserve">  F&amp;B/Retail Subtotal</t>
  </si>
  <si>
    <t xml:space="preserve">ROOFTOP (net rent income)</t>
  </si>
  <si>
    <t xml:space="preserve">  Rooftop sub-lease net margin</t>
  </si>
  <si>
    <t xml:space="preserve">TOTAL MATURE REVENUE</t>
  </si>
  <si>
    <t xml:space="preserve">OPEX &amp; COST STRUCTURE</t>
  </si>
  <si>
    <t xml:space="preserve">Cost Item</t>
  </si>
  <si>
    <t xml:space="preserve">DIRECT COSTS (variable)</t>
  </si>
  <si>
    <t xml:space="preserve">Gaming variable costs</t>
  </si>
  <si>
    <t xml:space="preserve">Academy variable costs</t>
  </si>
  <si>
    <t xml:space="preserve">Events variable costs</t>
  </si>
  <si>
    <t xml:space="preserve">Esports variable costs</t>
  </si>
  <si>
    <t xml:space="preserve">F&amp;B variable costs</t>
  </si>
  <si>
    <t xml:space="preserve">Total Direct Costs</t>
  </si>
  <si>
    <t xml:space="preserve">SHARED OPEX (fixed + semi-variable)</t>
  </si>
  <si>
    <t xml:space="preserve">Rent</t>
  </si>
  <si>
    <t xml:space="preserve">Total Shared OpEx</t>
  </si>
  <si>
    <t xml:space="preserve">CAPEX SCHEDULE &amp; DEPRECIATION</t>
  </si>
  <si>
    <t xml:space="preserve">Asset Category</t>
  </si>
  <si>
    <t xml:space="preserve">Amount ($)</t>
  </si>
  <si>
    <t xml:space="preserve">Phase</t>
  </si>
  <si>
    <t xml:space="preserve">Useful Life</t>
  </si>
  <si>
    <t xml:space="preserve">Annual D&amp;A</t>
  </si>
  <si>
    <t xml:space="preserve">Franchise fee + pre-launch marketing</t>
  </si>
  <si>
    <t xml:space="preserve">P1</t>
  </si>
  <si>
    <t xml:space="preserve">Gaming equipment (sims, arcade, VR)</t>
  </si>
  <si>
    <t xml:space="preserve">Pixoul games / software / IP</t>
  </si>
  <si>
    <t xml:space="preserve">Gaming PCs + esports licenses</t>
  </si>
  <si>
    <t xml:space="preserve">Academy + lab equipment</t>
  </si>
  <si>
    <t xml:space="preserve">P2</t>
  </si>
  <si>
    <t xml:space="preserve">Event center fit-out + AV</t>
  </si>
  <si>
    <t xml:space="preserve">Museum equipment</t>
  </si>
  <si>
    <t xml:space="preserve">Kids playground + music studio + kitchen</t>
  </si>
  <si>
    <t xml:space="preserve">Furniture + interior</t>
  </si>
  <si>
    <t xml:space="preserve">Shipping + customs</t>
  </si>
  <si>
    <t xml:space="preserve">OpEx reserve (6 months)</t>
  </si>
  <si>
    <t xml:space="preserve">Prizes + contingency</t>
  </si>
  <si>
    <t xml:space="preserve">P3</t>
  </si>
  <si>
    <t xml:space="preserve">TOTAL CAPEX</t>
  </si>
  <si>
    <t xml:space="preserve">INCOME STATEMENT · 5-YEAR PROJECTION</t>
  </si>
  <si>
    <t xml:space="preserve">All figures in USD. Pulled from Revenue Build, OpEx &amp; Costs, CapEx Schedule.</t>
  </si>
  <si>
    <t xml:space="preserve">Line Item ($)</t>
  </si>
  <si>
    <t xml:space="preserve">Mature</t>
  </si>
  <si>
    <t xml:space="preserve">YEAR</t>
  </si>
  <si>
    <t xml:space="preserve">100%</t>
  </si>
  <si>
    <t xml:space="preserve">Y1 (55%)</t>
  </si>
  <si>
    <t xml:space="preserve">Y2 (80%)</t>
  </si>
  <si>
    <t xml:space="preserve">Y3 (100%)</t>
  </si>
  <si>
    <t xml:space="preserve">Y4 (+10%)</t>
  </si>
  <si>
    <t xml:space="preserve">Y5 (+10%)</t>
  </si>
  <si>
    <t xml:space="preserve">Total Revenue</t>
  </si>
  <si>
    <t xml:space="preserve">Shared OpEx</t>
  </si>
  <si>
    <t xml:space="preserve">Depreciation &amp; Amortization</t>
  </si>
  <si>
    <t xml:space="preserve">EBIT</t>
  </si>
  <si>
    <t xml:space="preserve">Tax (Morocco IS 26%)</t>
  </si>
  <si>
    <t xml:space="preserve">Dividend (85% payout)</t>
  </si>
  <si>
    <t xml:space="preserve">EBITDA Margin</t>
  </si>
  <si>
    <t xml:space="preserve">Net Margin</t>
  </si>
  <si>
    <t xml:space="preserve">CASH FLOW STATEMENT</t>
  </si>
  <si>
    <t xml:space="preserve">Indirect method: Net profit + non-cash + working capital + investing + financing</t>
  </si>
  <si>
    <t xml:space="preserve">Cash Flow Item</t>
  </si>
  <si>
    <t xml:space="preserve">Year 0</t>
  </si>
  <si>
    <t xml:space="preserve">OPERATING ACTIVITIES</t>
  </si>
  <si>
    <t xml:space="preserve">+ Depreciation &amp; Amortization (non-cash)</t>
  </si>
  <si>
    <t xml:space="preserve">- Δ Working Capital</t>
  </si>
  <si>
    <t xml:space="preserve">Cash from Operations</t>
  </si>
  <si>
    <t xml:space="preserve">INVESTING ACTIVITIES</t>
  </si>
  <si>
    <t xml:space="preserve">CapEx (Phase 1 deployment)</t>
  </si>
  <si>
    <t xml:space="preserve">Cash from Investing</t>
  </si>
  <si>
    <t xml:space="preserve">FINANCING ACTIVITIES</t>
  </si>
  <si>
    <t xml:space="preserve">Equity raised (capital calls)</t>
  </si>
  <si>
    <t xml:space="preserve">Dividends paid</t>
  </si>
  <si>
    <t xml:space="preserve">Cash from Financing</t>
  </si>
  <si>
    <t xml:space="preserve">NET CHANGE IN CASH</t>
  </si>
  <si>
    <t xml:space="preserve">Cumulative Cash Balance</t>
  </si>
  <si>
    <t xml:space="preserve">BALANCE SHEET</t>
  </si>
  <si>
    <t xml:space="preserve">Year-end snapshot. A — L = E check at bottom.</t>
  </si>
  <si>
    <t xml:space="preserve">Line Item</t>
  </si>
  <si>
    <t xml:space="preserve">ASSETS</t>
  </si>
  <si>
    <t xml:space="preserve">Cash &amp; equivalents</t>
  </si>
  <si>
    <t xml:space="preserve">Working capital (NWC)</t>
  </si>
  <si>
    <t xml:space="preserve">PP&amp;E (net of accumulated D&amp;A)</t>
  </si>
  <si>
    <t xml:space="preserve">TOTAL ASSETS</t>
  </si>
  <si>
    <t xml:space="preserve">LIABILITIES</t>
  </si>
  <si>
    <t xml:space="preserve">Trade payables (assumed nil for simplicity)</t>
  </si>
  <si>
    <t xml:space="preserve">TOTAL LIABILITIES</t>
  </si>
  <si>
    <t xml:space="preserve">EQUITY</t>
  </si>
  <si>
    <t xml:space="preserve">Paid-in capital (cumulative)</t>
  </si>
  <si>
    <t xml:space="preserve">Retained earnings (cumulative)</t>
  </si>
  <si>
    <t xml:space="preserve">TOTAL EQUITY</t>
  </si>
  <si>
    <t xml:space="preserve">CHECK: Assets − Liabilities − Equity (should = 0)</t>
  </si>
  <si>
    <t xml:space="preserve">INVESTOR RETURNS · PHASE 1</t>
  </si>
  <si>
    <t xml:space="preserve">$4M anchor commitment at $12M pre-money. 5-year hold. Exit at 8x EBITDA multiple.</t>
  </si>
  <si>
    <t xml:space="preserve">Initial investment</t>
  </si>
  <si>
    <t xml:space="preserve">Dividend received (Phase 1 share)</t>
  </si>
  <si>
    <t xml:space="preserve">Exit value (Y5 EBITDA × multiple × equity %)</t>
  </si>
  <si>
    <t xml:space="preserve">NET CASH FLOW</t>
  </si>
  <si>
    <t xml:space="preserve">Cumulative cash</t>
  </si>
  <si>
    <t xml:space="preserve">RETURN METRICS</t>
  </si>
  <si>
    <t xml:space="preserve">Initial Investment</t>
  </si>
  <si>
    <t xml:space="preserve">Total Dividends Received (Y1-Y5)</t>
  </si>
  <si>
    <t xml:space="preserve">Exit Value (Y5)</t>
  </si>
  <si>
    <t xml:space="preserve">Total Returned</t>
  </si>
  <si>
    <t xml:space="preserve">KEY METRICS</t>
  </si>
  <si>
    <t xml:space="preserve">IRR (5-year hold)</t>
  </si>
  <si>
    <t xml:space="preserve">MOIC (Multiple on Invested Capital)</t>
  </si>
  <si>
    <t xml:space="preserve">SENSITIVITY ANALYSIS · IRR (%)</t>
  </si>
  <si>
    <t xml:space="preserve">Phase 1 IRR sensitivity to Y3 revenue scaling (rows) and exit multiple (columns).</t>
  </si>
  <si>
    <t xml:space="preserve">↓ Revenue scaling × Exit multiple →</t>
  </si>
  <si>
    <t xml:space="preserve">Revenue scaler</t>
  </si>
  <si>
    <t xml:space="preserve">Hurdle rate reference: 12.5%</t>
  </si>
  <si>
    <t xml:space="preserve">COMPARABLE TRANSACTIONS &amp; EXIT ANALYSIS</t>
  </si>
  <si>
    <t xml:space="preserve">TRANSACTION COMPARABLES (FEC + EdTech + Entertainment)</t>
  </si>
  <si>
    <t xml:space="preserve">Company / Deal</t>
  </si>
  <si>
    <t xml:space="preserve">Geography</t>
  </si>
  <si>
    <t xml:space="preserve">Date</t>
  </si>
  <si>
    <t xml:space="preserve">EV ($M)</t>
  </si>
  <si>
    <t xml:space="preserve">EBITDA ($M)</t>
  </si>
  <si>
    <t xml:space="preserve">EV / EBITDA</t>
  </si>
  <si>
    <t xml:space="preserve">Source</t>
  </si>
  <si>
    <t xml:space="preserve">Six Flags · Cedar Fair merger</t>
  </si>
  <si>
    <t xml:space="preserve">USA</t>
  </si>
  <si>
    <t xml:space="preserve">2024</t>
  </si>
  <si>
    <t xml:space="preserve">6.5x</t>
  </si>
  <si>
    <t xml:space="preserve">Press release</t>
  </si>
  <si>
    <t xml:space="preserve">Topgolf · Callaway acquisition</t>
  </si>
  <si>
    <t xml:space="preserve">2021</t>
  </si>
  <si>
    <t xml:space="preserve">8.9x</t>
  </si>
  <si>
    <t xml:space="preserve">10-K filing</t>
  </si>
  <si>
    <t xml:space="preserve">Magic Planet (Landmark Group)</t>
  </si>
  <si>
    <t xml:space="preserve">UAE</t>
  </si>
  <si>
    <t xml:space="preserve">2023</t>
  </si>
  <si>
    <t xml:space="preserve">Private</t>
  </si>
  <si>
    <t xml:space="preserve">7-9x est.</t>
  </si>
  <si>
    <t xml:space="preserve">Industry report</t>
  </si>
  <si>
    <t xml:space="preserve">Yas Waterworld + Ferrari World</t>
  </si>
  <si>
    <t xml:space="preserve">2022</t>
  </si>
  <si>
    <t xml:space="preserve">8-11x est.</t>
  </si>
  <si>
    <t xml:space="preserve">Local press</t>
  </si>
  <si>
    <t xml:space="preserve">Hub Zero / Reel Cinemas</t>
  </si>
  <si>
    <t xml:space="preserve">2020</t>
  </si>
  <si>
    <t xml:space="preserve">6-8x est.</t>
  </si>
  <si>
    <t xml:space="preserve">M&amp;A Insights</t>
  </si>
  <si>
    <t xml:space="preserve">GoMyCode (EdTech MENA)</t>
  </si>
  <si>
    <t xml:space="preserve">Tunisia</t>
  </si>
  <si>
    <t xml:space="preserve">10.0x</t>
  </si>
  <si>
    <t xml:space="preserve">TechCrunch</t>
  </si>
  <si>
    <t xml:space="preserve">Coursera IPO (US EdTech)</t>
  </si>
  <si>
    <t xml:space="preserve">N/A</t>
  </si>
  <si>
    <t xml:space="preserve">S-1 filing</t>
  </si>
  <si>
    <t xml:space="preserve">MEDIAN OBSERVABLE</t>
  </si>
  <si>
    <t xml:space="preserve">—</t>
  </si>
  <si>
    <t xml:space="preserve">8.0x</t>
  </si>
  <si>
    <t xml:space="preserve">Calculated</t>
  </si>
  <si>
    <t xml:space="preserve">EXIT VALUATION SCENARIOS (Y5)</t>
  </si>
  <si>
    <t xml:space="preserve">Scenario</t>
  </si>
  <si>
    <t xml:space="preserve">Multiple</t>
  </si>
  <si>
    <t xml:space="preserve">Y5 EBITDA</t>
  </si>
  <si>
    <t xml:space="preserve">Enterprise Value</t>
  </si>
  <si>
    <t xml:space="preserve">Phase 1 (25%)</t>
  </si>
  <si>
    <t xml:space="preserve">Total Return</t>
  </si>
  <si>
    <t xml:space="preserve">IRR Approx</t>
  </si>
  <si>
    <t xml:space="preserve">Conservative (6.0x)</t>
  </si>
  <si>
    <t xml:space="preserve">Base case (8.0x)</t>
  </si>
  <si>
    <t xml:space="preserve">Strong (10.0x)</t>
  </si>
  <si>
    <t xml:space="preserve">Premium (12.0x)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</si>
</sst>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;\(#,##0\);\-"/>
    <numFmt numFmtId="166" formatCode="0.0%;\(0.0%\);\-"/>
    <numFmt numFmtId="167" formatCode="0.00\x"/>
    <numFmt numFmtId="168" formatCode="0.0&quot; yrs&quot;"/>
    <numFmt numFmtId="169" formatCode="\$#,##0;&quot;($&quot;#,##0\);\-"/>
    <numFmt numFmtId="170" formatCode="0.0"/>
    <numFmt numFmtId="171" formatCode="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3A70"/>
      <name val="Georgia"/>
      <family val="0"/>
      <charset val="1"/>
    </font>
    <font>
      <i val="true"/>
      <sz val="12"/>
      <color rgb="FF6B7680"/>
      <name val="Georgia"/>
      <family val="0"/>
      <charset val="1"/>
    </font>
    <font>
      <sz val="9"/>
      <color rgb="FF6B7680"/>
      <name val="Calibri"/>
      <family val="0"/>
      <charset val="1"/>
    </font>
    <font>
      <b val="true"/>
      <sz val="10"/>
      <color rgb="FF6B7680"/>
      <name val="Calibri"/>
      <family val="0"/>
      <charset val="1"/>
    </font>
    <font>
      <b val="true"/>
      <sz val="10"/>
      <color rgb="FF0000FF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0"/>
      <color rgb="FF008000"/>
      <name val="Calibri"/>
      <family val="0"/>
      <charset val="1"/>
    </font>
    <font>
      <b val="true"/>
      <sz val="10"/>
      <color rgb="FF003A70"/>
      <name val="Calibri"/>
      <family val="0"/>
      <charset val="1"/>
    </font>
    <font>
      <sz val="10"/>
      <color rgb="FF6B7680"/>
      <name val="Calibri"/>
      <family val="0"/>
      <charset val="1"/>
    </font>
    <font>
      <b val="true"/>
      <sz val="18"/>
      <color rgb="FF003A70"/>
      <name val="Georgia"/>
      <family val="0"/>
      <charset val="1"/>
    </font>
    <font>
      <i val="true"/>
      <sz val="9"/>
      <color rgb="FF6B7680"/>
      <name val="Calibri"/>
      <family val="0"/>
      <charset val="1"/>
    </font>
    <font>
      <b val="true"/>
      <sz val="12"/>
      <color rgb="FF003A70"/>
      <name val="Georgia"/>
      <family val="0"/>
      <charset val="1"/>
    </font>
    <font>
      <b val="true"/>
      <sz val="12"/>
      <color rgb="FF27AE60"/>
      <name val="Georgia"/>
      <family val="0"/>
      <charset val="1"/>
    </font>
    <font>
      <b val="true"/>
      <sz val="12"/>
      <color rgb="FFC9A24C"/>
      <name val="Georgia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008000"/>
      <name val="Calibri"/>
      <family val="0"/>
      <charset val="1"/>
    </font>
    <font>
      <b val="true"/>
      <sz val="10"/>
      <color rgb="FF27AE60"/>
      <name val="Calibri"/>
      <family val="0"/>
      <charset val="1"/>
    </font>
    <font>
      <b val="true"/>
      <sz val="10"/>
      <color rgb="FFC9A24C"/>
      <name val="Calibri"/>
      <family val="0"/>
      <charset val="1"/>
    </font>
    <font>
      <b val="true"/>
      <sz val="16"/>
      <color rgb="FF003A70"/>
      <name val="Georgia"/>
      <family val="0"/>
      <charset val="1"/>
    </font>
    <font>
      <b val="true"/>
      <sz val="11"/>
      <color rgb="FF003A70"/>
      <name val="Georgia"/>
      <family val="0"/>
      <charset val="1"/>
    </font>
    <font>
      <b val="true"/>
      <sz val="12"/>
      <color rgb="FF0000FF"/>
      <name val="Calibri"/>
      <family val="0"/>
      <charset val="1"/>
    </font>
    <font>
      <sz val="10"/>
      <color rgb="FF0000FF"/>
      <name val="Calibri"/>
      <family val="0"/>
      <charset val="1"/>
    </font>
    <font>
      <i val="true"/>
      <sz val="10"/>
      <color rgb="FF000000"/>
      <name val="Calibri"/>
      <family val="0"/>
      <charset val="1"/>
    </font>
    <font>
      <b val="true"/>
      <sz val="11"/>
      <color rgb="FF003A7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1"/>
      <color rgb="FF27AE60"/>
      <name val="Calibri"/>
      <family val="0"/>
      <charset val="1"/>
    </font>
    <font>
      <b val="true"/>
      <i val="true"/>
      <sz val="10"/>
      <color rgb="FF6B7680"/>
      <name val="Calibri"/>
      <family val="0"/>
      <charset val="1"/>
    </font>
    <font>
      <i val="true"/>
      <sz val="10"/>
      <color rgb="FF6B7680"/>
      <name val="Calibri"/>
      <family val="0"/>
      <charset val="1"/>
    </font>
    <font>
      <b val="true"/>
      <sz val="10"/>
      <color rgb="FFFFFFFF"/>
      <name val="Cambria"/>
      <family val="0"/>
      <charset val="1"/>
    </font>
    <font>
      <sz val="9"/>
      <color rgb="FF000000"/>
      <name val="Calibri"/>
      <family val="0"/>
      <charset val="1"/>
    </font>
    <font>
      <i val="true"/>
      <sz val="10"/>
      <color rgb="FF003A70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3A70"/>
        <bgColor rgb="FF333333"/>
      </patternFill>
    </fill>
    <fill>
      <patternFill patternType="solid">
        <fgColor rgb="FFF0F0EB"/>
        <bgColor rgb="FFFFFACD"/>
      </patternFill>
    </fill>
    <fill>
      <patternFill patternType="solid">
        <fgColor rgb="FFB22222"/>
        <bgColor rgb="FF993366"/>
      </patternFill>
    </fill>
    <fill>
      <patternFill patternType="solid">
        <fgColor rgb="FF27AE60"/>
        <bgColor rgb="FF008080"/>
      </patternFill>
    </fill>
    <fill>
      <patternFill patternType="solid">
        <fgColor rgb="FF6B7680"/>
        <bgColor rgb="FF666699"/>
      </patternFill>
    </fill>
    <fill>
      <patternFill patternType="solid">
        <fgColor rgb="FFFFFACD"/>
        <bgColor rgb="FFF0F0EB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003A70"/>
      </bottom>
      <diagonal/>
    </border>
    <border diagonalUp="false" diagonalDown="false">
      <left/>
      <right/>
      <top style="thin">
        <color rgb="FFD4D4CE"/>
      </top>
      <bottom/>
      <diagonal/>
    </border>
    <border diagonalUp="false" diagonalDown="false">
      <left/>
      <right/>
      <top style="thin">
        <color rgb="FFD4D4CE"/>
      </top>
      <bottom style="medium">
        <color rgb="FF003A70"/>
      </bottom>
      <diagonal/>
    </border>
    <border diagonalUp="false" diagonalDown="false">
      <left/>
      <right/>
      <top style="thin">
        <color rgb="FFD4D4CE"/>
      </top>
      <bottom style="thin">
        <color rgb="FFD4D4C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0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0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8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9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2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0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8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0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30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2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0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6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6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6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3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3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7680"/>
      <rgbColor rgb="FF9999FF"/>
      <rgbColor rgb="FF8B4A5F"/>
      <rgbColor rgb="FFFFFACD"/>
      <rgbColor rgb="FFF0F0EB"/>
      <rgbColor rgb="FF660066"/>
      <rgbColor rgb="FFFF8080"/>
      <rgbColor rgb="FF0066CC"/>
      <rgbColor rgb="FFD4D4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9A24C"/>
      <rgbColor rgb="FF003A70"/>
      <rgbColor rgb="FF27AE60"/>
      <rgbColor rgb="FF003300"/>
      <rgbColor rgb="FF333300"/>
      <rgbColor rgb="FFB22222"/>
      <rgbColor rgb="FF993366"/>
      <rgbColor rgb="FF4A3E7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680"/>
    <pageSetUpPr fitToPage="false"/>
  </sheetPr>
  <dimension ref="B1:C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90"/>
  </cols>
  <sheetData>
    <row r="1" customFormat="false" ht="7.5" hidden="false" customHeight="true" outlineLevel="0" collapsed="false"/>
    <row r="2" customFormat="false" ht="29.1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4" customFormat="false" ht="15" hidden="false" customHeight="false" outlineLevel="0" collapsed="false">
      <c r="B4" s="3" t="s">
        <v>2</v>
      </c>
    </row>
    <row r="6" customFormat="false" ht="15" hidden="false" customHeight="false" outlineLevel="0" collapsed="false">
      <c r="B6" s="4" t="s">
        <v>3</v>
      </c>
    </row>
    <row r="7" customFormat="false" ht="15" hidden="false" customHeight="false" outlineLevel="0" collapsed="false">
      <c r="B7" s="5" t="s">
        <v>4</v>
      </c>
      <c r="C7" s="6" t="s">
        <v>5</v>
      </c>
    </row>
    <row r="8" customFormat="false" ht="15" hidden="false" customHeight="false" outlineLevel="0" collapsed="false">
      <c r="B8" s="7" t="s">
        <v>6</v>
      </c>
      <c r="C8" s="6" t="s">
        <v>7</v>
      </c>
    </row>
    <row r="9" customFormat="false" ht="15" hidden="false" customHeight="false" outlineLevel="0" collapsed="false">
      <c r="B9" s="8" t="s">
        <v>8</v>
      </c>
      <c r="C9" s="6" t="s">
        <v>9</v>
      </c>
    </row>
    <row r="10" customFormat="false" ht="15" hidden="false" customHeight="false" outlineLevel="0" collapsed="false">
      <c r="B10" s="9" t="s">
        <v>10</v>
      </c>
      <c r="C10" s="6" t="s">
        <v>11</v>
      </c>
    </row>
    <row r="12" customFormat="false" ht="15" hidden="false" customHeight="false" outlineLevel="0" collapsed="false">
      <c r="B12" s="4" t="s">
        <v>12</v>
      </c>
    </row>
    <row r="13" customFormat="false" ht="15" hidden="false" customHeight="false" outlineLevel="0" collapsed="false">
      <c r="B13" s="10" t="s">
        <v>13</v>
      </c>
      <c r="C13" s="11" t="s">
        <v>14</v>
      </c>
    </row>
    <row r="14" customFormat="false" ht="15" hidden="false" customHeight="false" outlineLevel="0" collapsed="false">
      <c r="B14" s="10" t="s">
        <v>15</v>
      </c>
      <c r="C14" s="11" t="s">
        <v>16</v>
      </c>
    </row>
    <row r="15" customFormat="false" ht="15" hidden="false" customHeight="false" outlineLevel="0" collapsed="false">
      <c r="B15" s="10" t="s">
        <v>17</v>
      </c>
      <c r="C15" s="11" t="s">
        <v>18</v>
      </c>
    </row>
    <row r="16" customFormat="false" ht="15" hidden="false" customHeight="false" outlineLevel="0" collapsed="false">
      <c r="B16" s="10" t="s">
        <v>19</v>
      </c>
      <c r="C16" s="11" t="s">
        <v>20</v>
      </c>
    </row>
    <row r="17" customFormat="false" ht="15" hidden="false" customHeight="false" outlineLevel="0" collapsed="false">
      <c r="B17" s="10" t="s">
        <v>21</v>
      </c>
      <c r="C17" s="11" t="s">
        <v>22</v>
      </c>
    </row>
    <row r="18" customFormat="false" ht="15" hidden="false" customHeight="false" outlineLevel="0" collapsed="false">
      <c r="B18" s="10" t="s">
        <v>23</v>
      </c>
      <c r="C18" s="11" t="s">
        <v>24</v>
      </c>
    </row>
    <row r="19" customFormat="false" ht="15" hidden="false" customHeight="false" outlineLevel="0" collapsed="false">
      <c r="B19" s="10" t="s">
        <v>25</v>
      </c>
      <c r="C19" s="11" t="s">
        <v>26</v>
      </c>
    </row>
    <row r="20" customFormat="false" ht="15" hidden="false" customHeight="false" outlineLevel="0" collapsed="false">
      <c r="B20" s="10" t="s">
        <v>27</v>
      </c>
      <c r="C20" s="11" t="s">
        <v>28</v>
      </c>
    </row>
    <row r="21" customFormat="false" ht="15" hidden="false" customHeight="false" outlineLevel="0" collapsed="false">
      <c r="B21" s="10" t="s">
        <v>29</v>
      </c>
      <c r="C21" s="11" t="s">
        <v>30</v>
      </c>
    </row>
    <row r="22" customFormat="false" ht="15" hidden="false" customHeight="false" outlineLevel="0" collapsed="false">
      <c r="B22" s="10" t="s">
        <v>31</v>
      </c>
      <c r="C22" s="11" t="s">
        <v>32</v>
      </c>
    </row>
    <row r="23" customFormat="false" ht="15" hidden="false" customHeight="false" outlineLevel="0" collapsed="false">
      <c r="B23" s="10" t="s">
        <v>33</v>
      </c>
      <c r="C23" s="11" t="s">
        <v>34</v>
      </c>
    </row>
    <row r="24" customFormat="false" ht="15" hidden="false" customHeight="false" outlineLevel="0" collapsed="false">
      <c r="B24" s="10" t="s">
        <v>35</v>
      </c>
      <c r="C24" s="11" t="s">
        <v>36</v>
      </c>
    </row>
    <row r="25" customFormat="false" ht="15" hidden="false" customHeight="false" outlineLevel="0" collapsed="false">
      <c r="B25" s="10" t="s">
        <v>37</v>
      </c>
      <c r="C25" s="11" t="s">
        <v>38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3A70"/>
    <pageSetUpPr fitToPage="false"/>
  </sheetPr>
  <dimension ref="B2:H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6"/>
    <col collapsed="false" customWidth="true" hidden="false" outlineLevel="0" max="8" min="3" style="0" width="14"/>
  </cols>
  <sheetData>
    <row r="2" customFormat="false" ht="19.7" hidden="false" customHeight="false" outlineLevel="0" collapsed="false">
      <c r="B2" s="29" t="s">
        <v>344</v>
      </c>
    </row>
    <row r="3" customFormat="false" ht="15" hidden="false" customHeight="false" outlineLevel="0" collapsed="false">
      <c r="B3" s="13" t="s">
        <v>345</v>
      </c>
    </row>
    <row r="5" customFormat="false" ht="15" hidden="false" customHeight="false" outlineLevel="0" collapsed="false">
      <c r="B5" s="21" t="s">
        <v>346</v>
      </c>
      <c r="C5" s="22" t="s">
        <v>330</v>
      </c>
      <c r="D5" s="22" t="s">
        <v>52</v>
      </c>
      <c r="E5" s="22" t="s">
        <v>53</v>
      </c>
      <c r="F5" s="22" t="s">
        <v>54</v>
      </c>
      <c r="G5" s="22" t="s">
        <v>55</v>
      </c>
      <c r="H5" s="22" t="s">
        <v>56</v>
      </c>
    </row>
    <row r="7" customFormat="false" ht="15" hidden="false" customHeight="false" outlineLevel="0" collapsed="false">
      <c r="B7" s="48" t="s">
        <v>347</v>
      </c>
      <c r="C7" s="48"/>
      <c r="D7" s="48"/>
      <c r="E7" s="48"/>
      <c r="F7" s="48"/>
      <c r="G7" s="48"/>
      <c r="H7" s="48"/>
    </row>
    <row r="8" customFormat="false" ht="15" hidden="false" customHeight="false" outlineLevel="0" collapsed="false">
      <c r="B8" s="6" t="s">
        <v>348</v>
      </c>
      <c r="C8" s="58" t="n">
        <f aca="false">'Cash Flow'!C23</f>
        <v>-1320000</v>
      </c>
      <c r="D8" s="58" t="n">
        <f aca="false">'Cash Flow'!D23</f>
        <v>614579.65</v>
      </c>
      <c r="E8" s="58" t="n">
        <f aca="false">'Cash Flow'!E23</f>
        <v>4364385.8</v>
      </c>
      <c r="F8" s="58" t="n">
        <f aca="false">'Cash Flow'!F23</f>
        <v>5627269.439</v>
      </c>
      <c r="G8" s="58" t="n">
        <f aca="false">'Cash Flow'!G23</f>
        <v>6944531.588294</v>
      </c>
      <c r="H8" s="58" t="n">
        <f aca="false">'Cash Flow'!H23</f>
        <v>8300475.18605031</v>
      </c>
    </row>
    <row r="9" customFormat="false" ht="15" hidden="false" customHeight="false" outlineLevel="0" collapsed="false">
      <c r="B9" s="6" t="s">
        <v>349</v>
      </c>
      <c r="C9" s="52" t="n">
        <v>0</v>
      </c>
      <c r="D9" s="52" t="n">
        <f aca="false">'P&amp;L'!D8*Assumptions!C72</f>
        <v>137535.75</v>
      </c>
      <c r="E9" s="52" t="n">
        <f aca="false">'P&amp;L'!E8*Assumptions!C72</f>
        <v>200052</v>
      </c>
      <c r="F9" s="52" t="n">
        <f aca="false">'P&amp;L'!F8*Assumptions!C72</f>
        <v>250065</v>
      </c>
      <c r="G9" s="52" t="n">
        <f aca="false">'P&amp;L'!G8*Assumptions!C72</f>
        <v>283323.645</v>
      </c>
      <c r="H9" s="52" t="n">
        <f aca="false">'P&amp;L'!H8*Assumptions!C72</f>
        <v>321005.689785</v>
      </c>
    </row>
    <row r="10" customFormat="false" ht="15" hidden="false" customHeight="false" outlineLevel="0" collapsed="false">
      <c r="B10" s="6" t="s">
        <v>350</v>
      </c>
      <c r="C10" s="52" t="n">
        <f aca="false">'CapEx Schedule'!C18*0.5</f>
        <v>5320000</v>
      </c>
      <c r="D10" s="52" t="n">
        <f aca="false">C10-'CapEx Schedule'!G18+'CapEx Schedule'!C18*0.3</f>
        <v>6519000</v>
      </c>
      <c r="E10" s="52" t="n">
        <f aca="false">D10-'CapEx Schedule'!H18+'CapEx Schedule'!C18*0.2</f>
        <v>7354000</v>
      </c>
      <c r="F10" s="52" t="n">
        <f aca="false">E10-'CapEx Schedule'!I18</f>
        <v>6061000</v>
      </c>
      <c r="G10" s="52" t="n">
        <f aca="false">F10-'CapEx Schedule'!J18</f>
        <v>4768000</v>
      </c>
      <c r="H10" s="52" t="n">
        <f aca="false">G10-'CapEx Schedule'!K18</f>
        <v>3475000</v>
      </c>
    </row>
    <row r="11" customFormat="false" ht="15" hidden="false" customHeight="false" outlineLevel="0" collapsed="false">
      <c r="B11" s="53" t="s">
        <v>351</v>
      </c>
      <c r="C11" s="54" t="n">
        <f aca="false">SUM(C8:C10)</f>
        <v>4000000</v>
      </c>
      <c r="D11" s="54" t="n">
        <f aca="false">SUM(D8:D10)</f>
        <v>7271115.4</v>
      </c>
      <c r="E11" s="54" t="n">
        <f aca="false">SUM(E8:E10)</f>
        <v>11918437.8</v>
      </c>
      <c r="F11" s="54" t="n">
        <f aca="false">SUM(F8:F10)</f>
        <v>11938334.439</v>
      </c>
      <c r="G11" s="54" t="n">
        <f aca="false">SUM(G8:G10)</f>
        <v>11995855.233294</v>
      </c>
      <c r="H11" s="54" t="n">
        <f aca="false">SUM(H8:H10)</f>
        <v>12096480.8758353</v>
      </c>
    </row>
    <row r="13" customFormat="false" ht="15" hidden="false" customHeight="false" outlineLevel="0" collapsed="false">
      <c r="B13" s="48" t="s">
        <v>352</v>
      </c>
      <c r="C13" s="48"/>
      <c r="D13" s="48"/>
      <c r="E13" s="48"/>
      <c r="F13" s="48"/>
      <c r="G13" s="48"/>
      <c r="H13" s="48"/>
    </row>
    <row r="14" customFormat="false" ht="15" hidden="false" customHeight="false" outlineLevel="0" collapsed="false">
      <c r="B14" s="74" t="s">
        <v>353</v>
      </c>
      <c r="C14" s="52" t="n">
        <v>0</v>
      </c>
      <c r="D14" s="52" t="n">
        <v>0</v>
      </c>
      <c r="E14" s="52" t="n">
        <v>0</v>
      </c>
      <c r="F14" s="52" t="n">
        <v>0</v>
      </c>
      <c r="G14" s="52" t="n">
        <v>0</v>
      </c>
      <c r="H14" s="52" t="n">
        <v>0</v>
      </c>
    </row>
    <row r="15" customFormat="false" ht="15" hidden="false" customHeight="false" outlineLevel="0" collapsed="false">
      <c r="B15" s="53" t="s">
        <v>354</v>
      </c>
      <c r="C15" s="54" t="n">
        <f aca="false">C14</f>
        <v>0</v>
      </c>
      <c r="D15" s="54" t="n">
        <f aca="false">D14</f>
        <v>0</v>
      </c>
      <c r="E15" s="54" t="n">
        <f aca="false">E14</f>
        <v>0</v>
      </c>
      <c r="F15" s="54" t="n">
        <f aca="false">F14</f>
        <v>0</v>
      </c>
      <c r="G15" s="54" t="n">
        <f aca="false">G14</f>
        <v>0</v>
      </c>
      <c r="H15" s="54" t="n">
        <f aca="false">H14</f>
        <v>0</v>
      </c>
    </row>
    <row r="17" customFormat="false" ht="15" hidden="false" customHeight="false" outlineLevel="0" collapsed="false">
      <c r="B17" s="48" t="s">
        <v>355</v>
      </c>
      <c r="C17" s="48"/>
      <c r="D17" s="48"/>
      <c r="E17" s="48"/>
      <c r="F17" s="48"/>
      <c r="G17" s="48"/>
      <c r="H17" s="48"/>
    </row>
    <row r="18" customFormat="false" ht="15" hidden="false" customHeight="false" outlineLevel="0" collapsed="false">
      <c r="B18" s="6" t="s">
        <v>356</v>
      </c>
      <c r="C18" s="58" t="n">
        <f aca="false">Assumptions!C85</f>
        <v>4000000</v>
      </c>
      <c r="D18" s="52" t="n">
        <f aca="false">C18+5000000</f>
        <v>9000000</v>
      </c>
      <c r="E18" s="52" t="n">
        <f aca="false">D18+5000000</f>
        <v>14000000</v>
      </c>
      <c r="F18" s="52" t="n">
        <f aca="false">E18</f>
        <v>14000000</v>
      </c>
      <c r="G18" s="52" t="n">
        <f aca="false">F18</f>
        <v>14000000</v>
      </c>
      <c r="H18" s="52" t="n">
        <f aca="false">G18</f>
        <v>14000000</v>
      </c>
    </row>
    <row r="19" customFormat="false" ht="15" hidden="false" customHeight="false" outlineLevel="0" collapsed="false">
      <c r="B19" s="6" t="s">
        <v>357</v>
      </c>
      <c r="C19" s="52" t="n">
        <v>0</v>
      </c>
      <c r="D19" s="52" t="n">
        <f aca="false">C19+'P&amp;L'!D26-'P&amp;L'!D28</f>
        <v>-1728884.6</v>
      </c>
      <c r="E19" s="52" t="n">
        <f aca="false">D19+'P&amp;L'!E26-'P&amp;L'!E28</f>
        <v>-2081562.2</v>
      </c>
      <c r="F19" s="52" t="n">
        <f aca="false">E19+'P&amp;L'!F26-'P&amp;L'!F28</f>
        <v>-2061665.561</v>
      </c>
      <c r="G19" s="52" t="n">
        <f aca="false">F19+'P&amp;L'!G26-'P&amp;L'!G28</f>
        <v>-2004144.766706</v>
      </c>
      <c r="H19" s="52" t="n">
        <f aca="false">G19+'P&amp;L'!H26-'P&amp;L'!H28</f>
        <v>-1903519.12416469</v>
      </c>
    </row>
    <row r="20" customFormat="false" ht="15" hidden="false" customHeight="false" outlineLevel="0" collapsed="false">
      <c r="B20" s="53" t="s">
        <v>358</v>
      </c>
      <c r="C20" s="54" t="n">
        <f aca="false">SUM(C18:C19)</f>
        <v>4000000</v>
      </c>
      <c r="D20" s="54" t="n">
        <f aca="false">SUM(D18:D19)</f>
        <v>7271115.4</v>
      </c>
      <c r="E20" s="54" t="n">
        <f aca="false">SUM(E18:E19)</f>
        <v>11918437.8</v>
      </c>
      <c r="F20" s="54" t="n">
        <f aca="false">SUM(F18:F19)</f>
        <v>11938334.439</v>
      </c>
      <c r="G20" s="54" t="n">
        <f aca="false">SUM(G18:G19)</f>
        <v>11995855.233294</v>
      </c>
      <c r="H20" s="54" t="n">
        <f aca="false">SUM(H18:H19)</f>
        <v>12096480.8758353</v>
      </c>
    </row>
    <row r="22" customFormat="false" ht="15" hidden="false" customHeight="false" outlineLevel="0" collapsed="false">
      <c r="B22" s="72" t="s">
        <v>359</v>
      </c>
      <c r="C22" s="73" t="n">
        <f aca="false">C11-C15-C20</f>
        <v>0</v>
      </c>
      <c r="D22" s="73" t="n">
        <f aca="false">D11-D15-D20</f>
        <v>0</v>
      </c>
      <c r="E22" s="73" t="n">
        <f aca="false">E11-E15-E20</f>
        <v>0</v>
      </c>
      <c r="F22" s="73" t="n">
        <f aca="false">F11-F15-F20</f>
        <v>0</v>
      </c>
      <c r="G22" s="73" t="n">
        <f aca="false">G11-G15-G20</f>
        <v>0</v>
      </c>
      <c r="H22" s="73" t="n">
        <f aca="false">H11-H15-H20</f>
        <v>0</v>
      </c>
    </row>
  </sheetData>
  <mergeCells count="3">
    <mergeCell ref="B7:H7"/>
    <mergeCell ref="B13:H13"/>
    <mergeCell ref="B17:H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24C"/>
    <pageSetUpPr fitToPage="false"/>
  </sheetPr>
  <dimension ref="B2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6"/>
    <col collapsed="false" customWidth="true" hidden="false" outlineLevel="0" max="9" min="3" style="0" width="14"/>
  </cols>
  <sheetData>
    <row r="2" customFormat="false" ht="19.7" hidden="false" customHeight="false" outlineLevel="0" collapsed="false">
      <c r="B2" s="29" t="s">
        <v>360</v>
      </c>
    </row>
    <row r="3" customFormat="false" ht="15" hidden="false" customHeight="false" outlineLevel="0" collapsed="false">
      <c r="B3" s="13" t="s">
        <v>361</v>
      </c>
    </row>
    <row r="5" customFormat="false" ht="15" hidden="false" customHeight="false" outlineLevel="0" collapsed="false">
      <c r="B5" s="21"/>
      <c r="C5" s="22" t="s">
        <v>330</v>
      </c>
      <c r="D5" s="22" t="s">
        <v>52</v>
      </c>
      <c r="E5" s="22" t="s">
        <v>53</v>
      </c>
      <c r="F5" s="22" t="s">
        <v>54</v>
      </c>
      <c r="G5" s="22" t="s">
        <v>55</v>
      </c>
      <c r="H5" s="22" t="s">
        <v>56</v>
      </c>
    </row>
    <row r="6" customFormat="false" ht="15" hidden="false" customHeight="false" outlineLevel="0" collapsed="false">
      <c r="B6" s="6" t="s">
        <v>362</v>
      </c>
      <c r="C6" s="58" t="n">
        <f aca="false">-Assumptions!C85</f>
        <v>-4000000</v>
      </c>
    </row>
    <row r="7" customFormat="false" ht="15" hidden="false" customHeight="false" outlineLevel="0" collapsed="false">
      <c r="B7" s="6" t="s">
        <v>363</v>
      </c>
      <c r="C7" s="52" t="n">
        <v>0</v>
      </c>
      <c r="D7" s="58" t="n">
        <f aca="false">'P&amp;L'!D28*Assumptions!C87</f>
        <v>0</v>
      </c>
      <c r="E7" s="58" t="n">
        <f aca="false">'P&amp;L'!E28*Assumptions!C87</f>
        <v>0</v>
      </c>
      <c r="F7" s="58" t="n">
        <f aca="false">'P&amp;L'!F28*Assumptions!C87</f>
        <v>28186.90525</v>
      </c>
      <c r="G7" s="58" t="n">
        <f aca="false">'P&amp;L'!G28*Assumptions!C87</f>
        <v>81487.7919165001</v>
      </c>
      <c r="H7" s="58" t="n">
        <f aca="false">'P&amp;L'!H28*Assumptions!C87</f>
        <v>142552.993600192</v>
      </c>
    </row>
    <row r="8" customFormat="false" ht="15" hidden="false" customHeight="false" outlineLevel="0" collapsed="false">
      <c r="B8" s="6" t="s">
        <v>364</v>
      </c>
      <c r="C8" s="52" t="n">
        <v>0</v>
      </c>
      <c r="D8" s="52" t="n">
        <v>0</v>
      </c>
      <c r="E8" s="52" t="n">
        <v>0</v>
      </c>
      <c r="F8" s="52" t="n">
        <v>0</v>
      </c>
      <c r="G8" s="52" t="n">
        <v>0</v>
      </c>
      <c r="H8" s="52" t="n">
        <f aca="false">'P&amp;L'!H18*Scenarios!$C$23*Assumptions!C87</f>
        <v>4399074.640384</v>
      </c>
    </row>
    <row r="10" customFormat="false" ht="15" hidden="false" customHeight="false" outlineLevel="0" collapsed="false">
      <c r="B10" s="75" t="s">
        <v>365</v>
      </c>
      <c r="C10" s="76" t="n">
        <f aca="false">SUM(C6:C8)</f>
        <v>-4000000</v>
      </c>
      <c r="D10" s="76" t="n">
        <f aca="false">SUM(D6:D8)</f>
        <v>0</v>
      </c>
      <c r="E10" s="76" t="n">
        <f aca="false">SUM(E6:E8)</f>
        <v>0</v>
      </c>
      <c r="F10" s="76" t="n">
        <f aca="false">SUM(F6:F8)</f>
        <v>28186.90525</v>
      </c>
      <c r="G10" s="76" t="n">
        <f aca="false">SUM(G6:G8)</f>
        <v>81487.7919165001</v>
      </c>
      <c r="H10" s="76" t="n">
        <f aca="false">SUM(H6:H8)</f>
        <v>4541627.63398419</v>
      </c>
    </row>
    <row r="11" customFormat="false" ht="15" hidden="false" customHeight="false" outlineLevel="0" collapsed="false">
      <c r="B11" s="74" t="s">
        <v>366</v>
      </c>
      <c r="C11" s="73" t="n">
        <f aca="false">C10</f>
        <v>-4000000</v>
      </c>
      <c r="D11" s="73" t="n">
        <f aca="false">C11+D10</f>
        <v>-4000000</v>
      </c>
      <c r="E11" s="73" t="n">
        <f aca="false">D11+E10</f>
        <v>-4000000</v>
      </c>
      <c r="F11" s="73" t="n">
        <f aca="false">E11+F10</f>
        <v>-3971813.09475</v>
      </c>
      <c r="G11" s="73" t="n">
        <f aca="false">F11+G10</f>
        <v>-3890325.3028335</v>
      </c>
      <c r="H11" s="73" t="n">
        <f aca="false">G11+H10</f>
        <v>651302.331150694</v>
      </c>
    </row>
    <row r="14" customFormat="false" ht="15" hidden="false" customHeight="false" outlineLevel="0" collapsed="false">
      <c r="B14" s="64" t="s">
        <v>367</v>
      </c>
    </row>
    <row r="16" customFormat="false" ht="15" hidden="false" customHeight="false" outlineLevel="0" collapsed="false">
      <c r="B16" s="6" t="s">
        <v>368</v>
      </c>
      <c r="F16" s="65" t="n">
        <f aca="false">Assumptions!C85</f>
        <v>4000000</v>
      </c>
    </row>
    <row r="17" customFormat="false" ht="15" hidden="false" customHeight="false" outlineLevel="0" collapsed="false">
      <c r="B17" s="6" t="s">
        <v>369</v>
      </c>
      <c r="F17" s="77" t="n">
        <f aca="false">SUM(D7:H7)</f>
        <v>252227.690766692</v>
      </c>
    </row>
    <row r="18" customFormat="false" ht="15" hidden="false" customHeight="false" outlineLevel="0" collapsed="false">
      <c r="B18" s="6" t="s">
        <v>370</v>
      </c>
      <c r="F18" s="77" t="n">
        <f aca="false">H8</f>
        <v>4399074.640384</v>
      </c>
    </row>
    <row r="19" customFormat="false" ht="15" hidden="false" customHeight="false" outlineLevel="0" collapsed="false">
      <c r="B19" s="53" t="s">
        <v>371</v>
      </c>
      <c r="F19" s="54" t="n">
        <f aca="false">F17+F18</f>
        <v>4651302.33115069</v>
      </c>
    </row>
    <row r="20" customFormat="false" ht="15" hidden="false" customHeight="false" outlineLevel="0" collapsed="false">
      <c r="B20" s="6" t="s">
        <v>64</v>
      </c>
      <c r="F20" s="52" t="n">
        <f aca="false">F19-F16</f>
        <v>651302.331150694</v>
      </c>
    </row>
    <row r="22" customFormat="false" ht="15" hidden="false" customHeight="false" outlineLevel="0" collapsed="false">
      <c r="B22" s="78" t="s">
        <v>372</v>
      </c>
      <c r="C22" s="78"/>
      <c r="D22" s="78"/>
      <c r="E22" s="78"/>
      <c r="F22" s="78"/>
      <c r="G22" s="78"/>
    </row>
    <row r="23" customFormat="false" ht="15" hidden="false" customHeight="false" outlineLevel="0" collapsed="false">
      <c r="B23" s="79" t="s">
        <v>373</v>
      </c>
      <c r="F23" s="80" t="n">
        <f aca="false">IRR(C10:H10)</f>
        <v>0.0308197301806451</v>
      </c>
    </row>
    <row r="24" customFormat="false" ht="15" hidden="false" customHeight="false" outlineLevel="0" collapsed="false">
      <c r="B24" s="79" t="s">
        <v>374</v>
      </c>
      <c r="F24" s="81" t="n">
        <f aca="false">F19/F16</f>
        <v>1.16282558278767</v>
      </c>
    </row>
    <row r="25" customFormat="false" ht="15" hidden="false" customHeight="false" outlineLevel="0" collapsed="false">
      <c r="B25" s="79" t="s">
        <v>49</v>
      </c>
      <c r="F25" s="82" t="n">
        <f aca="false">IFERROR(F16/AVERAGE(D7:H7),0)</f>
        <v>79.2934349880711</v>
      </c>
    </row>
  </sheetData>
  <mergeCells count="1">
    <mergeCell ref="B22:G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680"/>
    <pageSetUpPr fitToPage="false"/>
  </sheetPr>
  <dimension ref="B2: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11" min="3" style="0" width="14"/>
  </cols>
  <sheetData>
    <row r="2" customFormat="false" ht="19.7" hidden="false" customHeight="false" outlineLevel="0" collapsed="false">
      <c r="B2" s="29" t="s">
        <v>375</v>
      </c>
    </row>
    <row r="3" customFormat="false" ht="15" hidden="false" customHeight="false" outlineLevel="0" collapsed="false">
      <c r="B3" s="13" t="s">
        <v>376</v>
      </c>
    </row>
    <row r="5" customFormat="false" ht="15" hidden="false" customHeight="false" outlineLevel="0" collapsed="false">
      <c r="C5" s="83" t="s">
        <v>377</v>
      </c>
      <c r="D5" s="83"/>
      <c r="E5" s="83"/>
      <c r="F5" s="83"/>
      <c r="G5" s="83"/>
      <c r="H5" s="83"/>
      <c r="I5" s="83"/>
      <c r="J5" s="83"/>
    </row>
    <row r="7" customFormat="false" ht="15" hidden="false" customHeight="false" outlineLevel="0" collapsed="false">
      <c r="B7" s="21" t="s">
        <v>378</v>
      </c>
      <c r="C7" s="84" t="n">
        <v>5</v>
      </c>
      <c r="D7" s="84" t="n">
        <v>6</v>
      </c>
      <c r="E7" s="84" t="n">
        <v>7</v>
      </c>
      <c r="F7" s="84" t="n">
        <v>8</v>
      </c>
      <c r="G7" s="84" t="n">
        <v>9</v>
      </c>
      <c r="H7" s="84" t="n">
        <v>10</v>
      </c>
      <c r="I7" s="84" t="n">
        <v>11</v>
      </c>
      <c r="J7" s="84" t="n">
        <v>12</v>
      </c>
    </row>
    <row r="8" customFormat="false" ht="15" hidden="false" customHeight="false" outlineLevel="0" collapsed="false">
      <c r="B8" s="85" t="n">
        <v>0.5</v>
      </c>
      <c r="C8" s="86" t="n">
        <f aca="false">((0.5*'P&amp;L'!H18*5*Assumptions!C87 + SUM('P&amp;L'!D28:H28)*0.5*Assumptions!C87)/Assumptions!C85)^(1/5)-1</f>
        <v>-0.178033734865105</v>
      </c>
      <c r="D8" s="86" t="n">
        <f aca="false">((0.5*'P&amp;L'!H18*6*Assumptions!C87 + SUM('P&amp;L'!D28:H28)*0.5*Assumptions!C87)/Assumptions!C85)^(1/5)-1</f>
        <v>-0.149909447053851</v>
      </c>
      <c r="E8" s="86" t="n">
        <f aca="false">((0.5*'P&amp;L'!H18*7*Assumptions!C87 + SUM('P&amp;L'!D28:H28)*0.5*Assumptions!C87)/Assumptions!C85)^(1/5)-1</f>
        <v>-0.125079063302584</v>
      </c>
      <c r="F8" s="86" t="n">
        <f aca="false">((0.5*'P&amp;L'!H18*8*Assumptions!C87 + SUM('P&amp;L'!D28:H28)*0.5*Assumptions!C87)/Assumptions!C85)^(1/5)-1</f>
        <v>-0.102784192703612</v>
      </c>
      <c r="G8" s="86" t="n">
        <f aca="false">((0.5*'P&amp;L'!H18*9*Assumptions!C87 + SUM('P&amp;L'!D28:H28)*0.5*Assumptions!C87)/Assumptions!C85)^(1/5)-1</f>
        <v>-0.0825075680195253</v>
      </c>
      <c r="H8" s="86" t="n">
        <f aca="false">((0.5*'P&amp;L'!H18*10*Assumptions!C87 + SUM('P&amp;L'!D28:H28)*0.5*Assumptions!C87)/Assumptions!C85)^(1/5)-1</f>
        <v>-0.0638795163811617</v>
      </c>
      <c r="I8" s="86" t="n">
        <f aca="false">((0.5*'P&amp;L'!H18*11*Assumptions!C87 + SUM('P&amp;L'!D28:H28)*0.5*Assumptions!C87)/Assumptions!C85)^(1/5)-1</f>
        <v>-0.0466260466123758</v>
      </c>
      <c r="J8" s="86" t="n">
        <f aca="false">((0.5*'P&amp;L'!H18*12*Assumptions!C87 + SUM('P&amp;L'!D28:H28)*0.5*Assumptions!C87)/Assumptions!C85)^(1/5)-1</f>
        <v>-0.0305380615479266</v>
      </c>
    </row>
    <row r="9" customFormat="false" ht="15" hidden="false" customHeight="false" outlineLevel="0" collapsed="false">
      <c r="B9" s="85" t="n">
        <v>0.65</v>
      </c>
      <c r="C9" s="86" t="n">
        <f aca="false">((0.65*'P&amp;L'!H18*5*Assumptions!C87 + SUM('P&amp;L'!D28:H28)*0.65*Assumptions!C87)/Assumptions!C85)^(1/5)-1</f>
        <v>-0.133751163700825</v>
      </c>
      <c r="D9" s="86" t="n">
        <f aca="false">((0.65*'P&amp;L'!H18*6*Assumptions!C87 + SUM('P&amp;L'!D28:H28)*0.65*Assumptions!C87)/Assumptions!C85)^(1/5)-1</f>
        <v>-0.104111709356255</v>
      </c>
      <c r="E9" s="86" t="n">
        <f aca="false">((0.65*'P&amp;L'!H18*7*Assumptions!C87 + SUM('P&amp;L'!D28:H28)*0.65*Assumptions!C87)/Assumptions!C85)^(1/5)-1</f>
        <v>-0.0779436147010969</v>
      </c>
      <c r="F9" s="86" t="n">
        <f aca="false">((0.65*'P&amp;L'!H18*8*Assumptions!C87 + SUM('P&amp;L'!D28:H28)*0.65*Assumptions!C87)/Assumptions!C85)^(1/5)-1</f>
        <v>-0.0544476313122515</v>
      </c>
      <c r="G9" s="86" t="n">
        <f aca="false">((0.65*'P&amp;L'!H18*9*Assumptions!C87 + SUM('P&amp;L'!D28:H28)*0.65*Assumptions!C87)/Assumptions!C85)^(1/5)-1</f>
        <v>-0.0330786247219601</v>
      </c>
      <c r="H9" s="86" t="n">
        <f aca="false">((0.65*'P&amp;L'!H18*10*Assumptions!C87 + SUM('P&amp;L'!D28:H28)*0.65*Assumptions!C87)/Assumptions!C85)^(1/5)-1</f>
        <v>-0.013447006322627</v>
      </c>
      <c r="I9" s="86" t="n">
        <f aca="false">((0.65*'P&amp;L'!H18*11*Assumptions!C87 + SUM('P&amp;L'!D28:H28)*0.65*Assumptions!C87)/Assumptions!C85)^(1/5)-1</f>
        <v>0.00473597604938192</v>
      </c>
      <c r="J9" s="86" t="n">
        <f aca="false">((0.65*'P&amp;L'!H18*12*Assumptions!C87 + SUM('P&amp;L'!D28:H28)*0.65*Assumptions!C87)/Assumptions!C85)^(1/5)-1</f>
        <v>0.021690684449964</v>
      </c>
    </row>
    <row r="10" customFormat="false" ht="15" hidden="false" customHeight="false" outlineLevel="0" collapsed="false">
      <c r="B10" s="85" t="n">
        <v>0.8</v>
      </c>
      <c r="C10" s="86" t="n">
        <f aca="false">((0.8*'P&amp;L'!H18*5*Assumptions!C87 + SUM('P&amp;L'!D28:H28)*0.8*Assumptions!C87)/Assumptions!C85)^(1/5)-1</f>
        <v>-0.0970202931941098</v>
      </c>
      <c r="D10" s="86" t="n">
        <f aca="false">((0.8*'P&amp;L'!H18*6*Assumptions!C87 + SUM('P&amp;L'!D28:H28)*0.8*Assumptions!C87)/Assumptions!C85)^(1/5)-1</f>
        <v>-0.0661240602960804</v>
      </c>
      <c r="E10" s="86" t="n">
        <f aca="false">((0.8*'P&amp;L'!H18*7*Assumptions!C87 + SUM('P&amp;L'!D28:H28)*0.8*Assumptions!C87)/Assumptions!C85)^(1/5)-1</f>
        <v>-0.0388463804317893</v>
      </c>
      <c r="F10" s="86" t="n">
        <f aca="false">((0.8*'P&amp;L'!H18*8*Assumptions!C87 + SUM('P&amp;L'!D28:H28)*0.8*Assumptions!C87)/Assumptions!C85)^(1/5)-1</f>
        <v>-0.0143541152736423</v>
      </c>
      <c r="G10" s="86" t="n">
        <f aca="false">((0.8*'P&amp;L'!H18*9*Assumptions!C87 + SUM('P&amp;L'!D28:H28)*0.8*Assumptions!C87)/Assumptions!C85)^(1/5)-1</f>
        <v>0.00792098455572154</v>
      </c>
      <c r="H10" s="86" t="n">
        <f aca="false">((0.8*'P&amp;L'!H18*10*Assumptions!C87 + SUM('P&amp;L'!D28:H28)*0.8*Assumptions!C87)/Assumptions!C85)^(1/5)-1</f>
        <v>0.0283850270842967</v>
      </c>
      <c r="I10" s="86" t="n">
        <f aca="false">((0.8*'P&amp;L'!H18*11*Assumptions!C87 + SUM('P&amp;L'!D28:H28)*0.8*Assumptions!C87)/Assumptions!C85)^(1/5)-1</f>
        <v>0.0473390082074099</v>
      </c>
      <c r="J10" s="86" t="n">
        <f aca="false">((0.8*'P&amp;L'!H18*12*Assumptions!C87 + SUM('P&amp;L'!D28:H28)*0.8*Assumptions!C87)/Assumptions!C85)^(1/5)-1</f>
        <v>0.0650126338205119</v>
      </c>
    </row>
    <row r="11" customFormat="false" ht="15" hidden="false" customHeight="false" outlineLevel="0" collapsed="false">
      <c r="B11" s="85" t="n">
        <v>0.95</v>
      </c>
      <c r="C11" s="86" t="n">
        <f aca="false">((0.95*'P&amp;L'!H18*5*Assumptions!C87 + SUM('P&amp;L'!D28:H28)*0.95*Assumptions!C87)/Assumptions!C85)^(1/5)-1</f>
        <v>-0.0654453258790748</v>
      </c>
      <c r="D11" s="86" t="n">
        <f aca="false">((0.95*'P&amp;L'!H18*6*Assumptions!C87 + SUM('P&amp;L'!D28:H28)*0.95*Assumptions!C87)/Assumptions!C85)^(1/5)-1</f>
        <v>-0.0334687281217246</v>
      </c>
      <c r="E11" s="86" t="n">
        <f aca="false">((0.95*'P&amp;L'!H18*7*Assumptions!C87 + SUM('P&amp;L'!D28:H28)*0.95*Assumptions!C87)/Assumptions!C85)^(1/5)-1</f>
        <v>-0.00523721524916843</v>
      </c>
      <c r="F11" s="86" t="n">
        <f aca="false">((0.95*'P&amp;L'!H18*8*Assumptions!C87 + SUM('P&amp;L'!D28:H28)*0.95*Assumptions!C87)/Assumptions!C85)^(1/5)-1</f>
        <v>0.0201114838531868</v>
      </c>
      <c r="G11" s="86" t="n">
        <f aca="false">((0.95*'P&amp;L'!H18*9*Assumptions!C87 + SUM('P&amp;L'!D28:H28)*0.95*Assumptions!C87)/Assumptions!C85)^(1/5)-1</f>
        <v>0.0431654888381705</v>
      </c>
      <c r="H11" s="86" t="n">
        <f aca="false">((0.95*'P&amp;L'!H18*10*Assumptions!C87 + SUM('P&amp;L'!D28:H28)*0.95*Assumptions!C87)/Assumptions!C85)^(1/5)-1</f>
        <v>0.0643451083272277</v>
      </c>
      <c r="I11" s="86" t="n">
        <f aca="false">((0.95*'P&amp;L'!H18*11*Assumptions!C87 + SUM('P&amp;L'!D28:H28)*0.95*Assumptions!C87)/Assumptions!C85)^(1/5)-1</f>
        <v>0.0839618632977945</v>
      </c>
      <c r="J11" s="86" t="n">
        <f aca="false">((0.95*'P&amp;L'!H18*12*Assumptions!C87 + SUM('P&amp;L'!D28:H28)*0.95*Assumptions!C87)/Assumptions!C85)^(1/5)-1</f>
        <v>0.102253491892432</v>
      </c>
    </row>
    <row r="12" customFormat="false" ht="15" hidden="false" customHeight="false" outlineLevel="0" collapsed="false">
      <c r="B12" s="85" t="n">
        <v>1</v>
      </c>
      <c r="C12" s="86" t="n">
        <f aca="false">((1*'P&amp;L'!H18*5*Assumptions!C87 + SUM('P&amp;L'!D28:H28)*1*Assumptions!C87)/Assumptions!C85)^(1/5)-1</f>
        <v>-0.0558087033764898</v>
      </c>
      <c r="D12" s="86" t="n">
        <f aca="false">((1*'P&amp;L'!H18*6*Assumptions!C87 + SUM('P&amp;L'!D28:H28)*1*Assumptions!C87)/Assumptions!C85)^(1/5)-1</f>
        <v>-0.0235023802322387</v>
      </c>
      <c r="E12" s="86" t="n">
        <f aca="false">((1*'P&amp;L'!H18*7*Assumptions!C87 + SUM('P&amp;L'!D28:H28)*1*Assumptions!C87)/Assumptions!C85)^(1/5)-1</f>
        <v>0.00502024073678653</v>
      </c>
      <c r="F12" s="86" t="n">
        <f aca="false">((1*'P&amp;L'!H18*8*Assumptions!C87 + SUM('P&amp;L'!D28:H28)*1*Assumptions!C87)/Assumptions!C85)^(1/5)-1</f>
        <v>0.0306303219186983</v>
      </c>
      <c r="G12" s="86" t="n">
        <f aca="false">((1*'P&amp;L'!H18*9*Assumptions!C87 + SUM('P&amp;L'!D28:H28)*1*Assumptions!C87)/Assumptions!C85)^(1/5)-1</f>
        <v>0.0539220473382003</v>
      </c>
      <c r="H12" s="86" t="n">
        <f aca="false">((1*'P&amp;L'!H18*10*Assumptions!C87 + SUM('P&amp;L'!D28:H28)*1*Assumptions!C87)/Assumptions!C85)^(1/5)-1</f>
        <v>0.0753200596119883</v>
      </c>
      <c r="I12" s="86" t="n">
        <f aca="false">((1*'P&amp;L'!H18*11*Assumptions!C87 + SUM('P&amp;L'!D28:H28)*1*Assumptions!C87)/Assumptions!C85)^(1/5)-1</f>
        <v>0.0951390919533839</v>
      </c>
      <c r="J12" s="86" t="n">
        <f aca="false">((1*'P&amp;L'!H18*12*Assumptions!C87 + SUM('P&amp;L'!D28:H28)*1*Assumptions!C87)/Assumptions!C85)^(1/5)-1</f>
        <v>0.113619333932133</v>
      </c>
    </row>
    <row r="13" customFormat="false" ht="15" hidden="false" customHeight="false" outlineLevel="0" collapsed="false">
      <c r="B13" s="85" t="n">
        <v>1.1</v>
      </c>
      <c r="C13" s="86" t="n">
        <f aca="false">((1.1*'P&amp;L'!H18*5*Assumptions!C87 + SUM('P&amp;L'!D28:H28)*1.1*Assumptions!C87)/Assumptions!C85)^(1/5)-1</f>
        <v>-0.0376378584886621</v>
      </c>
      <c r="D13" s="86" t="n">
        <f aca="false">((1.1*'P&amp;L'!H18*6*Assumptions!C87 + SUM('P&amp;L'!D28:H28)*1.1*Assumptions!C87)/Assumptions!C85)^(1/5)-1</f>
        <v>-0.00470980414560673</v>
      </c>
      <c r="E13" s="86" t="n">
        <f aca="false">((1.1*'P&amp;L'!H18*7*Assumptions!C87 + SUM('P&amp;L'!D28:H28)*1.1*Assumptions!C87)/Assumptions!C85)^(1/5)-1</f>
        <v>0.0243617311411801</v>
      </c>
      <c r="F13" s="86" t="n">
        <f aca="false">((1.1*'P&amp;L'!H18*8*Assumptions!C87 + SUM('P&amp;L'!D28:H28)*1.1*Assumptions!C87)/Assumptions!C85)^(1/5)-1</f>
        <v>0.0504646751723739</v>
      </c>
      <c r="G13" s="86" t="n">
        <f aca="false">((1.1*'P&amp;L'!H18*9*Assumptions!C87 + SUM('P&amp;L'!D28:H28)*1.1*Assumptions!C87)/Assumptions!C85)^(1/5)-1</f>
        <v>0.0742046469708471</v>
      </c>
      <c r="H13" s="86" t="n">
        <f aca="false">((1.1*'P&amp;L'!H18*10*Assumptions!C87 + SUM('P&amp;L'!D28:H28)*1.1*Assumptions!C87)/Assumptions!C85)^(1/5)-1</f>
        <v>0.096014461348007</v>
      </c>
      <c r="I13" s="86" t="n">
        <f aca="false">((1.1*'P&amp;L'!H18*11*Assumptions!C87 + SUM('P&amp;L'!D28:H28)*1.1*Assumptions!C87)/Assumptions!C85)^(1/5)-1</f>
        <v>0.116214908518993</v>
      </c>
      <c r="J13" s="86" t="n">
        <f aca="false">((1.1*'P&amp;L'!H18*12*Assumptions!C87 + SUM('P&amp;L'!D28:H28)*1.1*Assumptions!C87)/Assumptions!C85)^(1/5)-1</f>
        <v>0.135050800472156</v>
      </c>
    </row>
    <row r="14" customFormat="false" ht="15" hidden="false" customHeight="false" outlineLevel="0" collapsed="false">
      <c r="B14" s="85" t="n">
        <v>1.25</v>
      </c>
      <c r="C14" s="86" t="n">
        <f aca="false">((1.25*'P&amp;L'!H18*5*Assumptions!C87 + SUM('P&amp;L'!D28:H28)*1.25*Assumptions!C87)/Assumptions!C85)^(1/5)-1</f>
        <v>-0.0127162350380187</v>
      </c>
      <c r="D14" s="86" t="n">
        <f aca="false">((1.25*'P&amp;L'!H18*6*Assumptions!C87 + SUM('P&amp;L'!D28:H28)*1.25*Assumptions!C87)/Assumptions!C85)^(1/5)-1</f>
        <v>0.0210645342404052</v>
      </c>
      <c r="E14" s="86" t="n">
        <f aca="false">((1.25*'P&amp;L'!H18*7*Assumptions!C87 + SUM('P&amp;L'!D28:H28)*1.25*Assumptions!C87)/Assumptions!C85)^(1/5)-1</f>
        <v>0.0508889148691873</v>
      </c>
      <c r="F14" s="86" t="n">
        <f aca="false">((1.25*'P&amp;L'!H18*8*Assumptions!C87 + SUM('P&amp;L'!D28:H28)*1.25*Assumptions!C87)/Assumptions!C85)^(1/5)-1</f>
        <v>0.0776678286980677</v>
      </c>
      <c r="G14" s="86" t="n">
        <f aca="false">((1.25*'P&amp;L'!H18*9*Assumptions!C87 + SUM('P&amp;L'!D28:H28)*1.25*Assumptions!C87)/Assumptions!C85)^(1/5)-1</f>
        <v>0.102022578044795</v>
      </c>
      <c r="H14" s="86" t="n">
        <f aca="false">((1.25*'P&amp;L'!H18*10*Assumptions!C87 + SUM('P&amp;L'!D28:H28)*1.25*Assumptions!C87)/Assumptions!C85)^(1/5)-1</f>
        <v>0.124397186025101</v>
      </c>
      <c r="I14" s="86" t="n">
        <f aca="false">((1.25*'P&amp;L'!H18*11*Assumptions!C87 + SUM('P&amp;L'!D28:H28)*1.25*Assumptions!C87)/Assumptions!C85)^(1/5)-1</f>
        <v>0.14512075013535</v>
      </c>
      <c r="J14" s="86" t="n">
        <f aca="false">((1.25*'P&amp;L'!H18*12*Assumptions!C87 + SUM('P&amp;L'!D28:H28)*1.25*Assumptions!C87)/Assumptions!C85)^(1/5)-1</f>
        <v>0.164444422089788</v>
      </c>
    </row>
    <row r="15" customFormat="false" ht="15" hidden="false" customHeight="false" outlineLevel="0" collapsed="false">
      <c r="B15" s="85" t="n">
        <v>1.4</v>
      </c>
      <c r="C15" s="86" t="n">
        <f aca="false">((1.4*'P&amp;L'!H18*5*Assumptions!C87 + SUM('P&amp;L'!D28:H28)*1.4*Assumptions!C87)/Assumptions!C85)^(1/5)-1</f>
        <v>0.00991680753781266</v>
      </c>
      <c r="D15" s="86" t="n">
        <f aca="false">((1.4*'P&amp;L'!H18*6*Assumptions!C87 + SUM('P&amp;L'!D28:H28)*1.4*Assumptions!C87)/Assumptions!C85)^(1/5)-1</f>
        <v>0.0444719859744305</v>
      </c>
      <c r="E15" s="86" t="n">
        <f aca="false">((1.4*'P&amp;L'!H18*7*Assumptions!C87 + SUM('P&amp;L'!D28:H28)*1.4*Assumptions!C87)/Assumptions!C85)^(1/5)-1</f>
        <v>0.0749800773057734</v>
      </c>
      <c r="F15" s="86" t="n">
        <f aca="false">((1.4*'P&amp;L'!H18*8*Assumptions!C87 + SUM('P&amp;L'!D28:H28)*1.4*Assumptions!C87)/Assumptions!C85)^(1/5)-1</f>
        <v>0.102372885861107</v>
      </c>
      <c r="G15" s="86" t="n">
        <f aca="false">((1.4*'P&amp;L'!H18*9*Assumptions!C87 + SUM('P&amp;L'!D28:H28)*1.4*Assumptions!C87)/Assumptions!C85)^(1/5)-1</f>
        <v>0.127285957038346</v>
      </c>
      <c r="H15" s="86" t="n">
        <f aca="false">((1.4*'P&amp;L'!H18*10*Assumptions!C87 + SUM('P&amp;L'!D28:H28)*1.4*Assumptions!C87)/Assumptions!C85)^(1/5)-1</f>
        <v>0.150173492986282</v>
      </c>
      <c r="I15" s="86" t="n">
        <f aca="false">((1.4*'P&amp;L'!H18*11*Assumptions!C87 + SUM('P&amp;L'!D28:H28)*1.4*Assumptions!C87)/Assumptions!C85)^(1/5)-1</f>
        <v>0.17137213561547</v>
      </c>
      <c r="J15" s="86" t="n">
        <f aca="false">((1.4*'P&amp;L'!H18*12*Assumptions!C87 + SUM('P&amp;L'!D28:H28)*1.4*Assumptions!C87)/Assumptions!C85)^(1/5)-1</f>
        <v>0.19113879418185</v>
      </c>
    </row>
    <row r="17" customFormat="false" ht="15" hidden="false" customHeight="false" outlineLevel="0" collapsed="false">
      <c r="B17" s="87" t="s">
        <v>379</v>
      </c>
    </row>
  </sheetData>
  <mergeCells count="1">
    <mergeCell ref="C5:J5"/>
  </mergeCells>
  <conditionalFormatting sqref="C8:J15">
    <cfRule type="colorScale" priority="2">
      <colorScale>
        <cfvo type="num" val="-0.1"/>
        <cfvo type="num" val="0.15"/>
        <cfvo type="num" val="0.4"/>
        <color rgb="FFF4CCCC"/>
        <color rgb="FFFFFACD"/>
        <color rgb="FFC8E6C9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680"/>
    <pageSetUpPr fitToPage="false"/>
  </sheetPr>
  <dimension ref="B2:H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8"/>
    <col collapsed="false" customWidth="true" hidden="false" outlineLevel="0" max="8" min="4" style="0" width="14"/>
  </cols>
  <sheetData>
    <row r="2" customFormat="false" ht="19.7" hidden="false" customHeight="false" outlineLevel="0" collapsed="false">
      <c r="B2" s="29" t="s">
        <v>380</v>
      </c>
    </row>
    <row r="5" customFormat="false" ht="15" hidden="false" customHeight="false" outlineLevel="0" collapsed="false">
      <c r="B5" s="4" t="s">
        <v>381</v>
      </c>
    </row>
    <row r="7" customFormat="false" ht="15" hidden="false" customHeight="false" outlineLevel="0" collapsed="false">
      <c r="B7" s="21" t="s">
        <v>382</v>
      </c>
      <c r="C7" s="21" t="s">
        <v>383</v>
      </c>
      <c r="D7" s="22" t="s">
        <v>384</v>
      </c>
      <c r="E7" s="22" t="s">
        <v>385</v>
      </c>
      <c r="F7" s="22" t="s">
        <v>386</v>
      </c>
      <c r="G7" s="22" t="s">
        <v>387</v>
      </c>
      <c r="H7" s="22" t="s">
        <v>388</v>
      </c>
    </row>
    <row r="8" customFormat="false" ht="15" hidden="false" customHeight="false" outlineLevel="0" collapsed="false">
      <c r="B8" s="6" t="s">
        <v>389</v>
      </c>
      <c r="C8" s="11" t="s">
        <v>390</v>
      </c>
      <c r="D8" s="88" t="s">
        <v>391</v>
      </c>
      <c r="E8" s="89" t="n">
        <v>8000</v>
      </c>
      <c r="F8" s="89" t="n">
        <v>1240</v>
      </c>
      <c r="G8" s="90" t="s">
        <v>392</v>
      </c>
      <c r="H8" s="13" t="s">
        <v>393</v>
      </c>
    </row>
    <row r="9" customFormat="false" ht="15" hidden="false" customHeight="false" outlineLevel="0" collapsed="false">
      <c r="B9" s="6" t="s">
        <v>394</v>
      </c>
      <c r="C9" s="11" t="s">
        <v>390</v>
      </c>
      <c r="D9" s="88" t="s">
        <v>395</v>
      </c>
      <c r="E9" s="89" t="n">
        <v>2500</v>
      </c>
      <c r="F9" s="89" t="n">
        <v>280</v>
      </c>
      <c r="G9" s="90" t="s">
        <v>396</v>
      </c>
      <c r="H9" s="13" t="s">
        <v>397</v>
      </c>
    </row>
    <row r="10" customFormat="false" ht="15" hidden="false" customHeight="false" outlineLevel="0" collapsed="false">
      <c r="B10" s="6" t="s">
        <v>398</v>
      </c>
      <c r="C10" s="11" t="s">
        <v>399</v>
      </c>
      <c r="D10" s="88" t="s">
        <v>400</v>
      </c>
      <c r="E10" s="91" t="s">
        <v>401</v>
      </c>
      <c r="F10" s="91" t="s">
        <v>401</v>
      </c>
      <c r="G10" s="90" t="s">
        <v>402</v>
      </c>
      <c r="H10" s="13" t="s">
        <v>403</v>
      </c>
    </row>
    <row r="11" customFormat="false" ht="15" hidden="false" customHeight="false" outlineLevel="0" collapsed="false">
      <c r="B11" s="6" t="s">
        <v>404</v>
      </c>
      <c r="C11" s="11" t="s">
        <v>399</v>
      </c>
      <c r="D11" s="88" t="s">
        <v>405</v>
      </c>
      <c r="E11" s="91" t="s">
        <v>401</v>
      </c>
      <c r="F11" s="91" t="s">
        <v>401</v>
      </c>
      <c r="G11" s="90" t="s">
        <v>406</v>
      </c>
      <c r="H11" s="13" t="s">
        <v>407</v>
      </c>
    </row>
    <row r="12" customFormat="false" ht="15" hidden="false" customHeight="false" outlineLevel="0" collapsed="false">
      <c r="B12" s="6" t="s">
        <v>408</v>
      </c>
      <c r="C12" s="11" t="s">
        <v>399</v>
      </c>
      <c r="D12" s="88" t="s">
        <v>409</v>
      </c>
      <c r="E12" s="91" t="s">
        <v>401</v>
      </c>
      <c r="F12" s="91" t="s">
        <v>401</v>
      </c>
      <c r="G12" s="90" t="s">
        <v>410</v>
      </c>
      <c r="H12" s="13" t="s">
        <v>411</v>
      </c>
    </row>
    <row r="13" customFormat="false" ht="15" hidden="false" customHeight="false" outlineLevel="0" collapsed="false">
      <c r="B13" s="6" t="s">
        <v>412</v>
      </c>
      <c r="C13" s="11" t="s">
        <v>413</v>
      </c>
      <c r="D13" s="88" t="s">
        <v>391</v>
      </c>
      <c r="E13" s="89" t="n">
        <v>50</v>
      </c>
      <c r="F13" s="89" t="n">
        <v>5</v>
      </c>
      <c r="G13" s="90" t="s">
        <v>414</v>
      </c>
      <c r="H13" s="13" t="s">
        <v>415</v>
      </c>
    </row>
    <row r="14" customFormat="false" ht="15" hidden="false" customHeight="false" outlineLevel="0" collapsed="false">
      <c r="B14" s="6" t="s">
        <v>416</v>
      </c>
      <c r="C14" s="11" t="s">
        <v>390</v>
      </c>
      <c r="D14" s="88" t="s">
        <v>395</v>
      </c>
      <c r="E14" s="89" t="n">
        <v>4300</v>
      </c>
      <c r="F14" s="89" t="n">
        <v>-45</v>
      </c>
      <c r="G14" s="90" t="s">
        <v>417</v>
      </c>
      <c r="H14" s="13" t="s">
        <v>418</v>
      </c>
    </row>
    <row r="15" customFormat="false" ht="15" hidden="false" customHeight="false" outlineLevel="0" collapsed="false">
      <c r="B15" s="7" t="s">
        <v>419</v>
      </c>
      <c r="C15" s="11" t="s">
        <v>420</v>
      </c>
      <c r="D15" s="88" t="s">
        <v>420</v>
      </c>
      <c r="E15" s="91" t="s">
        <v>420</v>
      </c>
      <c r="F15" s="91" t="s">
        <v>420</v>
      </c>
      <c r="G15" s="92" t="s">
        <v>421</v>
      </c>
      <c r="H15" s="13" t="s">
        <v>422</v>
      </c>
    </row>
    <row r="18" customFormat="false" ht="15" hidden="false" customHeight="false" outlineLevel="0" collapsed="false">
      <c r="B18" s="78" t="s">
        <v>423</v>
      </c>
      <c r="C18" s="78"/>
      <c r="D18" s="78"/>
      <c r="E18" s="78"/>
      <c r="F18" s="78"/>
      <c r="G18" s="78"/>
      <c r="H18" s="78"/>
    </row>
    <row r="20" customFormat="false" ht="15" hidden="false" customHeight="false" outlineLevel="0" collapsed="false">
      <c r="B20" s="21" t="s">
        <v>424</v>
      </c>
      <c r="C20" s="22" t="s">
        <v>425</v>
      </c>
      <c r="D20" s="22" t="s">
        <v>426</v>
      </c>
      <c r="E20" s="22" t="s">
        <v>427</v>
      </c>
      <c r="F20" s="22" t="s">
        <v>428</v>
      </c>
      <c r="G20" s="22" t="s">
        <v>429</v>
      </c>
      <c r="H20" s="22" t="s">
        <v>430</v>
      </c>
    </row>
    <row r="21" customFormat="false" ht="15" hidden="false" customHeight="false" outlineLevel="0" collapsed="false">
      <c r="B21" s="6" t="s">
        <v>431</v>
      </c>
      <c r="C21" s="93" t="n">
        <v>6</v>
      </c>
      <c r="D21" s="58" t="n">
        <f aca="false">'P&amp;L'!H18</f>
        <v>2199537.320192</v>
      </c>
      <c r="E21" s="52" t="n">
        <f aca="false">C21*D21</f>
        <v>13197223.921152</v>
      </c>
      <c r="F21" s="52" t="n">
        <f aca="false">E21*Assumptions!C87</f>
        <v>3299305.980288</v>
      </c>
      <c r="G21" s="52" t="n">
        <f aca="false">F21+SUM('P&amp;L'!D28:H28)*Assumptions!C87</f>
        <v>3551533.67105469</v>
      </c>
      <c r="H21" s="94" t="n">
        <f aca="false">(G21/Assumptions!C85)^(1/5)-1</f>
        <v>-0.0235023802322387</v>
      </c>
    </row>
    <row r="22" customFormat="false" ht="15" hidden="false" customHeight="false" outlineLevel="0" collapsed="false">
      <c r="B22" s="7" t="s">
        <v>432</v>
      </c>
      <c r="C22" s="93" t="n">
        <v>8</v>
      </c>
      <c r="D22" s="58" t="n">
        <f aca="false">'P&amp;L'!H18</f>
        <v>2199537.320192</v>
      </c>
      <c r="E22" s="52" t="n">
        <f aca="false">C22*D22</f>
        <v>17596298.561536</v>
      </c>
      <c r="F22" s="52" t="n">
        <f aca="false">E22*Assumptions!C87</f>
        <v>4399074.640384</v>
      </c>
      <c r="G22" s="52" t="n">
        <f aca="false">F22+SUM('P&amp;L'!D28:H28)*Assumptions!C87</f>
        <v>4651302.33115069</v>
      </c>
      <c r="H22" s="50" t="n">
        <f aca="false">(G22/Assumptions!C85)^(1/5)-1</f>
        <v>0.0306303219186983</v>
      </c>
    </row>
    <row r="23" customFormat="false" ht="15" hidden="false" customHeight="false" outlineLevel="0" collapsed="false">
      <c r="B23" s="6" t="s">
        <v>433</v>
      </c>
      <c r="C23" s="93" t="n">
        <v>10</v>
      </c>
      <c r="D23" s="58" t="n">
        <f aca="false">'P&amp;L'!H18</f>
        <v>2199537.320192</v>
      </c>
      <c r="E23" s="52" t="n">
        <f aca="false">C23*D23</f>
        <v>21995373.20192</v>
      </c>
      <c r="F23" s="52" t="n">
        <f aca="false">E23*Assumptions!C87</f>
        <v>5498843.30048</v>
      </c>
      <c r="G23" s="52" t="n">
        <f aca="false">F23+SUM('P&amp;L'!D28:H28)*Assumptions!C87</f>
        <v>5751070.9912467</v>
      </c>
      <c r="H23" s="94" t="n">
        <f aca="false">(G23/Assumptions!C85)^(1/5)-1</f>
        <v>0.0753200596119883</v>
      </c>
    </row>
    <row r="24" customFormat="false" ht="15" hidden="false" customHeight="false" outlineLevel="0" collapsed="false">
      <c r="B24" s="6" t="s">
        <v>434</v>
      </c>
      <c r="C24" s="93" t="n">
        <v>12</v>
      </c>
      <c r="D24" s="58" t="n">
        <f aca="false">'P&amp;L'!H18</f>
        <v>2199537.320192</v>
      </c>
      <c r="E24" s="52" t="n">
        <f aca="false">C24*D24</f>
        <v>26394447.842304</v>
      </c>
      <c r="F24" s="52" t="n">
        <f aca="false">E24*Assumptions!C87</f>
        <v>6598611.960576</v>
      </c>
      <c r="G24" s="52" t="n">
        <f aca="false">F24+SUM('P&amp;L'!D28:H28)*Assumptions!C87</f>
        <v>6850839.6513427</v>
      </c>
      <c r="H24" s="94" t="n">
        <f aca="false">(G24/Assumptions!C85)^(1/5)-1</f>
        <v>0.113619333932133</v>
      </c>
    </row>
  </sheetData>
  <mergeCells count="1">
    <mergeCell ref="B18:H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3A70"/>
    <pageSetUpPr fitToPage="false"/>
  </sheetPr>
  <dimension ref="B2:G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7" min="3" style="0" width="18"/>
  </cols>
  <sheetData>
    <row r="2" customFormat="false" ht="22.05" hidden="false" customHeight="false" outlineLevel="0" collapsed="false">
      <c r="B2" s="12" t="s">
        <v>39</v>
      </c>
    </row>
    <row r="3" customFormat="false" ht="15" hidden="false" customHeight="false" outlineLevel="0" collapsed="false">
      <c r="B3" s="13" t="s">
        <v>40</v>
      </c>
    </row>
    <row r="5" customFormat="false" ht="15" hidden="false" customHeight="false" outlineLevel="0" collapsed="false">
      <c r="B5" s="14" t="s">
        <v>41</v>
      </c>
      <c r="C5" s="14"/>
      <c r="D5" s="14"/>
      <c r="E5" s="14"/>
      <c r="F5" s="14"/>
      <c r="G5" s="14"/>
    </row>
    <row r="6" customFormat="false" ht="15" hidden="false" customHeight="false" outlineLevel="0" collapsed="false">
      <c r="B6" s="4" t="s">
        <v>42</v>
      </c>
      <c r="C6" s="15" t="n">
        <f aca="false">'P&amp;L'!F8</f>
        <v>5001300</v>
      </c>
    </row>
    <row r="7" customFormat="false" ht="15" hidden="false" customHeight="false" outlineLevel="0" collapsed="false">
      <c r="B7" s="4" t="s">
        <v>43</v>
      </c>
      <c r="C7" s="15" t="n">
        <f aca="false">'P&amp;L'!F18</f>
        <v>1472249</v>
      </c>
    </row>
    <row r="8" customFormat="false" ht="15" hidden="false" customHeight="false" outlineLevel="0" collapsed="false">
      <c r="B8" s="4" t="s">
        <v>44</v>
      </c>
      <c r="C8" s="16" t="n">
        <f aca="false">IFERROR('P&amp;L'!F18/'P&amp;L'!F8,0)</f>
        <v>0.294373262951633</v>
      </c>
    </row>
    <row r="9" customFormat="false" ht="15" hidden="false" customHeight="false" outlineLevel="0" collapsed="false">
      <c r="B9" s="4" t="s">
        <v>45</v>
      </c>
      <c r="C9" s="17" t="n">
        <f aca="false">'P&amp;L'!F26</f>
        <v>132644.26</v>
      </c>
    </row>
    <row r="10" customFormat="false" ht="15" hidden="false" customHeight="false" outlineLevel="0" collapsed="false">
      <c r="B10" s="4" t="s">
        <v>46</v>
      </c>
      <c r="C10" s="18" t="n">
        <f aca="false">'P&amp;L'!F28</f>
        <v>112747.621</v>
      </c>
    </row>
    <row r="11" customFormat="false" ht="15" hidden="false" customHeight="false" outlineLevel="0" collapsed="false">
      <c r="B11" s="4" t="s">
        <v>47</v>
      </c>
      <c r="C11" s="16" t="n">
        <f aca="false">IFERROR('Investor Returns'!F23,0)</f>
        <v>0.0308197301806451</v>
      </c>
    </row>
    <row r="12" customFormat="false" ht="15" hidden="false" customHeight="false" outlineLevel="0" collapsed="false">
      <c r="B12" s="4" t="s">
        <v>48</v>
      </c>
      <c r="C12" s="19" t="n">
        <f aca="false">IFERROR('Investor Returns'!F24,0)</f>
        <v>1.16282558278767</v>
      </c>
    </row>
    <row r="13" customFormat="false" ht="15" hidden="false" customHeight="false" outlineLevel="0" collapsed="false">
      <c r="B13" s="4" t="s">
        <v>49</v>
      </c>
      <c r="C13" s="20" t="n">
        <f aca="false">IFERROR('Investor Returns'!F25,0)</f>
        <v>79.2934349880711</v>
      </c>
    </row>
    <row r="16" customFormat="false" ht="15" hidden="false" customHeight="false" outlineLevel="0" collapsed="false">
      <c r="B16" s="4" t="s">
        <v>50</v>
      </c>
    </row>
    <row r="17" customFormat="false" ht="15" hidden="false" customHeight="false" outlineLevel="0" collapsed="false">
      <c r="B17" s="21" t="s">
        <v>51</v>
      </c>
      <c r="C17" s="22" t="s">
        <v>52</v>
      </c>
      <c r="D17" s="22" t="s">
        <v>53</v>
      </c>
      <c r="E17" s="22" t="s">
        <v>54</v>
      </c>
      <c r="F17" s="22" t="s">
        <v>55</v>
      </c>
      <c r="G17" s="22" t="s">
        <v>56</v>
      </c>
    </row>
    <row r="18" customFormat="false" ht="15" hidden="false" customHeight="false" outlineLevel="0" collapsed="false">
      <c r="B18" s="6" t="s">
        <v>57</v>
      </c>
      <c r="C18" s="23" t="n">
        <f aca="false">'P&amp;L'!D8</f>
        <v>2750715</v>
      </c>
      <c r="D18" s="23" t="n">
        <f aca="false">'P&amp;L'!E8</f>
        <v>4001040</v>
      </c>
      <c r="E18" s="23" t="n">
        <f aca="false">'P&amp;L'!F8</f>
        <v>5001300</v>
      </c>
      <c r="F18" s="23" t="n">
        <f aca="false">'P&amp;L'!G8</f>
        <v>5666472.9</v>
      </c>
      <c r="G18" s="23" t="n">
        <f aca="false">'P&amp;L'!H8</f>
        <v>6420113.7957</v>
      </c>
    </row>
    <row r="19" customFormat="false" ht="15" hidden="false" customHeight="false" outlineLevel="0" collapsed="false">
      <c r="B19" s="6" t="s">
        <v>58</v>
      </c>
      <c r="C19" s="23" t="n">
        <f aca="false">'P&amp;L'!D10</f>
        <v>-874020.95</v>
      </c>
      <c r="D19" s="23" t="n">
        <f aca="false">'P&amp;L'!E10</f>
        <v>-1271303.2</v>
      </c>
      <c r="E19" s="23" t="n">
        <f aca="false">'P&amp;L'!F10</f>
        <v>-1589129</v>
      </c>
      <c r="F19" s="23" t="n">
        <f aca="false">'P&amp;L'!G10</f>
        <v>-1800483.157</v>
      </c>
      <c r="G19" s="23" t="n">
        <f aca="false">'P&amp;L'!H10</f>
        <v>-2039947.416881</v>
      </c>
    </row>
    <row r="20" customFormat="false" ht="15" hidden="false" customHeight="false" outlineLevel="0" collapsed="false">
      <c r="B20" s="6" t="s">
        <v>59</v>
      </c>
      <c r="C20" s="23" t="n">
        <f aca="false">'P&amp;L'!D12</f>
        <v>1876694.05</v>
      </c>
      <c r="D20" s="23" t="n">
        <f aca="false">'P&amp;L'!E12</f>
        <v>2729736.8</v>
      </c>
      <c r="E20" s="23" t="n">
        <f aca="false">'P&amp;L'!F12</f>
        <v>3412171</v>
      </c>
      <c r="F20" s="23" t="n">
        <f aca="false">'P&amp;L'!G12</f>
        <v>3865989.743</v>
      </c>
      <c r="G20" s="23" t="n">
        <f aca="false">'P&amp;L'!H12</f>
        <v>4380166.378819</v>
      </c>
    </row>
    <row r="21" customFormat="false" ht="15" hidden="false" customHeight="false" outlineLevel="0" collapsed="false">
      <c r="B21" s="6" t="s">
        <v>60</v>
      </c>
      <c r="C21" s="23" t="n">
        <f aca="false">'P&amp;L'!D14</f>
        <v>-1612578.65</v>
      </c>
      <c r="D21" s="23" t="n">
        <f aca="false">'P&amp;L'!E14</f>
        <v>-1789414.4</v>
      </c>
      <c r="E21" s="23" t="n">
        <f aca="false">'P&amp;L'!F14</f>
        <v>-1939922</v>
      </c>
      <c r="F21" s="23" t="n">
        <f aca="false">'P&amp;L'!G14</f>
        <v>-2054784.389</v>
      </c>
      <c r="G21" s="23" t="n">
        <f aca="false">'P&amp;L'!H14</f>
        <v>-2180629.058627</v>
      </c>
    </row>
    <row r="22" customFormat="false" ht="15" hidden="false" customHeight="false" outlineLevel="0" collapsed="false">
      <c r="B22" s="10" t="s">
        <v>61</v>
      </c>
      <c r="C22" s="24" t="n">
        <f aca="false">'P&amp;L'!D18</f>
        <v>264115.4</v>
      </c>
      <c r="D22" s="24" t="n">
        <f aca="false">'P&amp;L'!E18</f>
        <v>940322.4</v>
      </c>
      <c r="E22" s="24" t="n">
        <f aca="false">'P&amp;L'!F18</f>
        <v>1472249</v>
      </c>
      <c r="F22" s="24" t="n">
        <f aca="false">'P&amp;L'!G18</f>
        <v>1811205.354</v>
      </c>
      <c r="G22" s="24" t="n">
        <f aca="false">'P&amp;L'!H18</f>
        <v>2199537.320192</v>
      </c>
    </row>
    <row r="23" customFormat="false" ht="15" hidden="false" customHeight="false" outlineLevel="0" collapsed="false">
      <c r="B23" s="6" t="s">
        <v>62</v>
      </c>
      <c r="C23" s="23" t="n">
        <f aca="false">'P&amp;L'!D20</f>
        <v>-1993000</v>
      </c>
      <c r="D23" s="23" t="n">
        <f aca="false">'P&amp;L'!E20</f>
        <v>-1293000</v>
      </c>
      <c r="E23" s="23" t="n">
        <f aca="false">'P&amp;L'!F20</f>
        <v>-1293000</v>
      </c>
      <c r="F23" s="23" t="n">
        <f aca="false">'P&amp;L'!G20</f>
        <v>-1293000</v>
      </c>
      <c r="G23" s="23" t="n">
        <f aca="false">'P&amp;L'!H20</f>
        <v>-1293000</v>
      </c>
    </row>
    <row r="24" customFormat="false" ht="15" hidden="false" customHeight="false" outlineLevel="0" collapsed="false">
      <c r="B24" s="6" t="s">
        <v>63</v>
      </c>
      <c r="C24" s="23" t="n">
        <f aca="false">'P&amp;L'!D24</f>
        <v>-0</v>
      </c>
      <c r="D24" s="23" t="n">
        <f aca="false">'P&amp;L'!E24</f>
        <v>-0</v>
      </c>
      <c r="E24" s="23" t="n">
        <f aca="false">'P&amp;L'!F24</f>
        <v>-46604.74</v>
      </c>
      <c r="F24" s="23" t="n">
        <f aca="false">'P&amp;L'!G24</f>
        <v>-134733.39204</v>
      </c>
      <c r="G24" s="23" t="n">
        <f aca="false">'P&amp;L'!H24</f>
        <v>-235699.70324992</v>
      </c>
    </row>
    <row r="25" customFormat="false" ht="15" hidden="false" customHeight="false" outlineLevel="0" collapsed="false">
      <c r="B25" s="25" t="s">
        <v>64</v>
      </c>
      <c r="C25" s="26" t="n">
        <f aca="false">'P&amp;L'!D26</f>
        <v>-1728884.6</v>
      </c>
      <c r="D25" s="26" t="n">
        <f aca="false">'P&amp;L'!E26</f>
        <v>-352677.6</v>
      </c>
      <c r="E25" s="26" t="n">
        <f aca="false">'P&amp;L'!F26</f>
        <v>132644.26</v>
      </c>
      <c r="F25" s="26" t="n">
        <f aca="false">'P&amp;L'!G26</f>
        <v>383471.96196</v>
      </c>
      <c r="G25" s="26" t="n">
        <f aca="false">'P&amp;L'!H26</f>
        <v>670837.616942081</v>
      </c>
    </row>
    <row r="26" customFormat="false" ht="15" hidden="false" customHeight="false" outlineLevel="0" collapsed="false">
      <c r="B26" s="27" t="s">
        <v>65</v>
      </c>
      <c r="C26" s="28" t="n">
        <f aca="false">'P&amp;L'!D28</f>
        <v>0</v>
      </c>
      <c r="D26" s="28" t="n">
        <f aca="false">'P&amp;L'!E28</f>
        <v>0</v>
      </c>
      <c r="E26" s="28" t="n">
        <f aca="false">'P&amp;L'!F28</f>
        <v>112747.621</v>
      </c>
      <c r="F26" s="28" t="n">
        <f aca="false">'P&amp;L'!G28</f>
        <v>325951.167666</v>
      </c>
      <c r="G26" s="28" t="n">
        <f aca="false">'P&amp;L'!H28</f>
        <v>570211.974400769</v>
      </c>
    </row>
  </sheetData>
  <mergeCells count="1">
    <mergeCell ref="B5:G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24C"/>
    <pageSetUpPr fitToPage="false"/>
  </sheetPr>
  <dimension ref="B2:E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8"/>
    <col collapsed="false" customWidth="true" hidden="false" outlineLevel="0" max="3" min="3" style="0" width="14"/>
    <col collapsed="false" customWidth="true" hidden="false" outlineLevel="0" max="4" min="4" style="0" width="12"/>
    <col collapsed="false" customWidth="true" hidden="false" outlineLevel="0" max="5" min="5" style="0" width="50"/>
  </cols>
  <sheetData>
    <row r="2" customFormat="false" ht="19.7" hidden="false" customHeight="false" outlineLevel="0" collapsed="false">
      <c r="B2" s="29" t="s">
        <v>66</v>
      </c>
    </row>
    <row r="3" customFormat="false" ht="15" hidden="false" customHeight="false" outlineLevel="0" collapsed="false">
      <c r="B3" s="13" t="s">
        <v>67</v>
      </c>
    </row>
    <row r="5" customFormat="false" ht="15" hidden="false" customHeight="false" outlineLevel="0" collapsed="false">
      <c r="B5" s="21" t="s">
        <v>68</v>
      </c>
      <c r="C5" s="21" t="s">
        <v>69</v>
      </c>
      <c r="D5" s="21" t="s">
        <v>70</v>
      </c>
      <c r="E5" s="21" t="s">
        <v>71</v>
      </c>
    </row>
    <row r="6" customFormat="false" ht="15" hidden="false" customHeight="false" outlineLevel="0" collapsed="false">
      <c r="B6" s="30" t="s">
        <v>72</v>
      </c>
      <c r="C6" s="30"/>
      <c r="D6" s="30"/>
      <c r="E6" s="30"/>
    </row>
    <row r="7" customFormat="false" ht="15" hidden="false" customHeight="false" outlineLevel="0" collapsed="false">
      <c r="B7" s="6" t="s">
        <v>73</v>
      </c>
      <c r="C7" s="31" t="n">
        <v>3850</v>
      </c>
      <c r="D7" s="32" t="s">
        <v>74</v>
      </c>
      <c r="E7" s="13" t="s">
        <v>75</v>
      </c>
    </row>
    <row r="8" customFormat="false" ht="15" hidden="false" customHeight="false" outlineLevel="0" collapsed="false">
      <c r="B8" s="6" t="s">
        <v>76</v>
      </c>
      <c r="C8" s="31" t="n">
        <v>1350</v>
      </c>
      <c r="D8" s="32" t="s">
        <v>74</v>
      </c>
      <c r="E8" s="13" t="s">
        <v>77</v>
      </c>
    </row>
    <row r="9" customFormat="false" ht="15" hidden="false" customHeight="false" outlineLevel="0" collapsed="false">
      <c r="B9" s="6" t="s">
        <v>78</v>
      </c>
      <c r="C9" s="31" t="n">
        <v>340</v>
      </c>
      <c r="D9" s="32" t="s">
        <v>79</v>
      </c>
      <c r="E9" s="13" t="s">
        <v>80</v>
      </c>
    </row>
    <row r="11" customFormat="false" ht="15" hidden="false" customHeight="false" outlineLevel="0" collapsed="false">
      <c r="B11" s="30" t="s">
        <v>81</v>
      </c>
      <c r="C11" s="30"/>
      <c r="D11" s="30"/>
      <c r="E11" s="30"/>
    </row>
    <row r="12" customFormat="false" ht="15" hidden="false" customHeight="false" outlineLevel="0" collapsed="false">
      <c r="B12" s="6" t="s">
        <v>82</v>
      </c>
      <c r="C12" s="33" t="n">
        <v>1500</v>
      </c>
      <c r="D12" s="32" t="s">
        <v>83</v>
      </c>
      <c r="E12" s="13" t="s">
        <v>84</v>
      </c>
    </row>
    <row r="13" customFormat="false" ht="15" hidden="false" customHeight="false" outlineLevel="0" collapsed="false">
      <c r="B13" s="6" t="s">
        <v>85</v>
      </c>
      <c r="C13" s="33" t="n">
        <v>14</v>
      </c>
      <c r="D13" s="32" t="s">
        <v>86</v>
      </c>
      <c r="E13" s="13" t="s">
        <v>87</v>
      </c>
    </row>
    <row r="14" customFormat="false" ht="15" hidden="false" customHeight="false" outlineLevel="0" collapsed="false">
      <c r="B14" s="6" t="s">
        <v>88</v>
      </c>
      <c r="C14" s="31" t="n">
        <v>10</v>
      </c>
      <c r="D14" s="32" t="s">
        <v>86</v>
      </c>
      <c r="E14" s="13" t="s">
        <v>89</v>
      </c>
    </row>
    <row r="15" customFormat="false" ht="15" hidden="false" customHeight="false" outlineLevel="0" collapsed="false">
      <c r="B15" s="6" t="s">
        <v>90</v>
      </c>
      <c r="C15" s="31" t="n">
        <v>500</v>
      </c>
      <c r="D15" s="32" t="s">
        <v>83</v>
      </c>
      <c r="E15" s="13" t="s">
        <v>91</v>
      </c>
    </row>
    <row r="16" customFormat="false" ht="15" hidden="false" customHeight="false" outlineLevel="0" collapsed="false">
      <c r="B16" s="6" t="s">
        <v>92</v>
      </c>
      <c r="C16" s="34" t="n">
        <v>0.5</v>
      </c>
      <c r="D16" s="32" t="s">
        <v>93</v>
      </c>
      <c r="E16" s="13" t="s">
        <v>94</v>
      </c>
    </row>
    <row r="17" customFormat="false" ht="15" hidden="false" customHeight="false" outlineLevel="0" collapsed="false">
      <c r="B17" s="6" t="s">
        <v>95</v>
      </c>
      <c r="C17" s="31" t="n">
        <v>16</v>
      </c>
      <c r="D17" s="32" t="s">
        <v>83</v>
      </c>
      <c r="E17" s="13" t="s">
        <v>96</v>
      </c>
    </row>
    <row r="18" customFormat="false" ht="15" hidden="false" customHeight="false" outlineLevel="0" collapsed="false">
      <c r="B18" s="6" t="s">
        <v>97</v>
      </c>
      <c r="C18" s="31" t="n">
        <v>500</v>
      </c>
      <c r="D18" s="32" t="s">
        <v>83</v>
      </c>
      <c r="E18" s="13" t="s">
        <v>98</v>
      </c>
    </row>
    <row r="20" customFormat="false" ht="15" hidden="false" customHeight="false" outlineLevel="0" collapsed="false">
      <c r="B20" s="30" t="s">
        <v>99</v>
      </c>
      <c r="C20" s="30"/>
      <c r="D20" s="30"/>
      <c r="E20" s="30"/>
    </row>
    <row r="21" customFormat="false" ht="15" hidden="false" customHeight="false" outlineLevel="0" collapsed="false">
      <c r="B21" s="6" t="s">
        <v>100</v>
      </c>
      <c r="C21" s="35" t="n">
        <v>480</v>
      </c>
      <c r="D21" s="32" t="s">
        <v>86</v>
      </c>
      <c r="E21" s="13" t="s">
        <v>101</v>
      </c>
    </row>
    <row r="22" customFormat="false" ht="15" hidden="false" customHeight="false" outlineLevel="0" collapsed="false">
      <c r="B22" s="6" t="s">
        <v>102</v>
      </c>
      <c r="C22" s="31" t="n">
        <v>12</v>
      </c>
      <c r="D22" s="32" t="s">
        <v>83</v>
      </c>
      <c r="E22" s="13" t="s">
        <v>103</v>
      </c>
    </row>
    <row r="23" customFormat="false" ht="15" hidden="false" customHeight="false" outlineLevel="0" collapsed="false">
      <c r="B23" s="6" t="s">
        <v>104</v>
      </c>
      <c r="C23" s="33" t="n">
        <v>180</v>
      </c>
      <c r="D23" s="32" t="s">
        <v>83</v>
      </c>
      <c r="E23" s="13" t="s">
        <v>105</v>
      </c>
    </row>
    <row r="24" customFormat="false" ht="15" hidden="false" customHeight="false" outlineLevel="0" collapsed="false">
      <c r="B24" s="6" t="s">
        <v>106</v>
      </c>
      <c r="C24" s="35" t="n">
        <v>1800</v>
      </c>
      <c r="D24" s="32" t="s">
        <v>86</v>
      </c>
      <c r="E24" s="13" t="s">
        <v>107</v>
      </c>
    </row>
    <row r="25" customFormat="false" ht="15" hidden="false" customHeight="false" outlineLevel="0" collapsed="false">
      <c r="B25" s="6" t="s">
        <v>108</v>
      </c>
      <c r="C25" s="31" t="n">
        <v>40</v>
      </c>
      <c r="D25" s="32" t="s">
        <v>83</v>
      </c>
      <c r="E25" s="13" t="s">
        <v>109</v>
      </c>
    </row>
    <row r="26" customFormat="false" ht="15" hidden="false" customHeight="false" outlineLevel="0" collapsed="false">
      <c r="B26" s="6" t="s">
        <v>110</v>
      </c>
      <c r="C26" s="35" t="n">
        <v>1400</v>
      </c>
      <c r="D26" s="32" t="s">
        <v>86</v>
      </c>
      <c r="E26" s="13" t="s">
        <v>111</v>
      </c>
    </row>
    <row r="27" customFormat="false" ht="15" hidden="false" customHeight="false" outlineLevel="0" collapsed="false">
      <c r="B27" s="6" t="s">
        <v>112</v>
      </c>
      <c r="C27" s="35" t="n">
        <v>400</v>
      </c>
      <c r="D27" s="32" t="s">
        <v>86</v>
      </c>
      <c r="E27" s="13" t="s">
        <v>113</v>
      </c>
    </row>
    <row r="28" customFormat="false" ht="15" hidden="false" customHeight="false" outlineLevel="0" collapsed="false">
      <c r="B28" s="6" t="s">
        <v>114</v>
      </c>
      <c r="C28" s="31" t="n">
        <v>24</v>
      </c>
      <c r="D28" s="32" t="s">
        <v>83</v>
      </c>
      <c r="E28" s="13" t="s">
        <v>115</v>
      </c>
    </row>
    <row r="29" customFormat="false" ht="15" hidden="false" customHeight="false" outlineLevel="0" collapsed="false">
      <c r="B29" s="6" t="s">
        <v>116</v>
      </c>
      <c r="C29" s="31" t="n">
        <v>15</v>
      </c>
      <c r="D29" s="32" t="s">
        <v>83</v>
      </c>
      <c r="E29" s="13" t="s">
        <v>117</v>
      </c>
    </row>
    <row r="30" customFormat="false" ht="15" hidden="false" customHeight="false" outlineLevel="0" collapsed="false">
      <c r="B30" s="6" t="s">
        <v>118</v>
      </c>
      <c r="C30" s="35" t="n">
        <v>15000</v>
      </c>
      <c r="D30" s="32" t="s">
        <v>86</v>
      </c>
      <c r="E30" s="13" t="s">
        <v>119</v>
      </c>
    </row>
    <row r="32" customFormat="false" ht="15" hidden="false" customHeight="false" outlineLevel="0" collapsed="false">
      <c r="B32" s="30" t="s">
        <v>120</v>
      </c>
      <c r="C32" s="30"/>
      <c r="D32" s="30"/>
      <c r="E32" s="30"/>
    </row>
    <row r="33" customFormat="false" ht="15" hidden="false" customHeight="false" outlineLevel="0" collapsed="false">
      <c r="B33" s="6" t="s">
        <v>121</v>
      </c>
      <c r="C33" s="31" t="n">
        <v>42</v>
      </c>
      <c r="D33" s="32" t="s">
        <v>83</v>
      </c>
      <c r="E33" s="13" t="s">
        <v>122</v>
      </c>
    </row>
    <row r="34" customFormat="false" ht="15" hidden="false" customHeight="false" outlineLevel="0" collapsed="false">
      <c r="B34" s="6" t="s">
        <v>123</v>
      </c>
      <c r="C34" s="35" t="n">
        <v>4250</v>
      </c>
      <c r="D34" s="32" t="s">
        <v>86</v>
      </c>
      <c r="E34" s="13" t="s">
        <v>124</v>
      </c>
    </row>
    <row r="36" customFormat="false" ht="15" hidden="false" customHeight="false" outlineLevel="0" collapsed="false">
      <c r="B36" s="30" t="s">
        <v>125</v>
      </c>
      <c r="C36" s="30"/>
      <c r="D36" s="30"/>
      <c r="E36" s="30"/>
    </row>
    <row r="37" customFormat="false" ht="15" hidden="false" customHeight="false" outlineLevel="0" collapsed="false">
      <c r="B37" s="6" t="s">
        <v>126</v>
      </c>
      <c r="C37" s="31" t="n">
        <v>50</v>
      </c>
      <c r="D37" s="32" t="s">
        <v>83</v>
      </c>
      <c r="E37" s="13" t="s">
        <v>127</v>
      </c>
    </row>
    <row r="38" customFormat="false" ht="15" hidden="false" customHeight="false" outlineLevel="0" collapsed="false">
      <c r="B38" s="6" t="s">
        <v>128</v>
      </c>
      <c r="C38" s="35" t="n">
        <v>2.5</v>
      </c>
      <c r="D38" s="32" t="s">
        <v>129</v>
      </c>
      <c r="E38" s="13" t="s">
        <v>130</v>
      </c>
    </row>
    <row r="39" customFormat="false" ht="15" hidden="false" customHeight="false" outlineLevel="0" collapsed="false">
      <c r="B39" s="6" t="s">
        <v>131</v>
      </c>
      <c r="C39" s="36" t="n">
        <v>0.35</v>
      </c>
      <c r="D39" s="32" t="s">
        <v>93</v>
      </c>
      <c r="E39" s="13" t="s">
        <v>132</v>
      </c>
    </row>
    <row r="40" customFormat="false" ht="15" hidden="false" customHeight="false" outlineLevel="0" collapsed="false">
      <c r="B40" s="6" t="s">
        <v>133</v>
      </c>
      <c r="C40" s="31" t="n">
        <v>6</v>
      </c>
      <c r="D40" s="32" t="s">
        <v>83</v>
      </c>
      <c r="E40" s="13" t="s">
        <v>134</v>
      </c>
    </row>
    <row r="41" customFormat="false" ht="15" hidden="false" customHeight="false" outlineLevel="0" collapsed="false">
      <c r="B41" s="6" t="s">
        <v>135</v>
      </c>
      <c r="C41" s="35" t="n">
        <v>8000</v>
      </c>
      <c r="D41" s="32" t="s">
        <v>86</v>
      </c>
      <c r="E41" s="13" t="s">
        <v>136</v>
      </c>
    </row>
    <row r="43" customFormat="false" ht="15" hidden="false" customHeight="false" outlineLevel="0" collapsed="false">
      <c r="B43" s="30" t="s">
        <v>137</v>
      </c>
      <c r="C43" s="30"/>
      <c r="D43" s="30"/>
      <c r="E43" s="30"/>
    </row>
    <row r="44" customFormat="false" ht="15" hidden="false" customHeight="false" outlineLevel="0" collapsed="false">
      <c r="B44" s="6" t="s">
        <v>138</v>
      </c>
      <c r="C44" s="31" t="n">
        <v>180</v>
      </c>
      <c r="D44" s="32" t="s">
        <v>83</v>
      </c>
      <c r="E44" s="13" t="s">
        <v>139</v>
      </c>
    </row>
    <row r="45" customFormat="false" ht="15" hidden="false" customHeight="false" outlineLevel="0" collapsed="false">
      <c r="B45" s="6" t="s">
        <v>140</v>
      </c>
      <c r="C45" s="35" t="n">
        <v>4</v>
      </c>
      <c r="D45" s="32" t="s">
        <v>86</v>
      </c>
      <c r="E45" s="13" t="s">
        <v>141</v>
      </c>
    </row>
    <row r="46" customFormat="false" ht="15" hidden="false" customHeight="false" outlineLevel="0" collapsed="false">
      <c r="B46" s="6" t="s">
        <v>142</v>
      </c>
      <c r="C46" s="35" t="n">
        <v>72000</v>
      </c>
      <c r="D46" s="32" t="s">
        <v>143</v>
      </c>
      <c r="E46" s="13" t="s">
        <v>144</v>
      </c>
    </row>
    <row r="47" customFormat="false" ht="15" hidden="false" customHeight="false" outlineLevel="0" collapsed="false">
      <c r="B47" s="6" t="s">
        <v>145</v>
      </c>
      <c r="C47" s="31" t="n">
        <v>600</v>
      </c>
      <c r="D47" s="32" t="s">
        <v>83</v>
      </c>
      <c r="E47" s="13" t="s">
        <v>146</v>
      </c>
    </row>
    <row r="48" customFormat="false" ht="15" hidden="false" customHeight="false" outlineLevel="0" collapsed="false">
      <c r="B48" s="6" t="s">
        <v>147</v>
      </c>
      <c r="C48" s="35" t="n">
        <v>300</v>
      </c>
      <c r="D48" s="32" t="s">
        <v>143</v>
      </c>
      <c r="E48" s="13" t="s">
        <v>148</v>
      </c>
    </row>
    <row r="49" customFormat="false" ht="15" hidden="false" customHeight="false" outlineLevel="0" collapsed="false">
      <c r="B49" s="6" t="s">
        <v>149</v>
      </c>
      <c r="C49" s="35" t="n">
        <v>50000</v>
      </c>
      <c r="D49" s="32" t="s">
        <v>143</v>
      </c>
      <c r="E49" s="13" t="s">
        <v>150</v>
      </c>
    </row>
    <row r="50" customFormat="false" ht="15" hidden="false" customHeight="false" outlineLevel="0" collapsed="false">
      <c r="B50" s="6" t="s">
        <v>151</v>
      </c>
      <c r="C50" s="35" t="n">
        <v>105000</v>
      </c>
      <c r="D50" s="32" t="s">
        <v>143</v>
      </c>
      <c r="E50" s="13" t="s">
        <v>152</v>
      </c>
    </row>
    <row r="52" customFormat="false" ht="15" hidden="false" customHeight="false" outlineLevel="0" collapsed="false">
      <c r="B52" s="30" t="s">
        <v>153</v>
      </c>
      <c r="C52" s="30"/>
      <c r="D52" s="30"/>
      <c r="E52" s="30"/>
    </row>
    <row r="53" customFormat="false" ht="15" hidden="false" customHeight="false" outlineLevel="0" collapsed="false">
      <c r="B53" s="6" t="s">
        <v>154</v>
      </c>
      <c r="C53" s="37" t="n">
        <v>600000</v>
      </c>
      <c r="D53" s="32" t="s">
        <v>143</v>
      </c>
      <c r="E53" s="13" t="s">
        <v>155</v>
      </c>
    </row>
    <row r="54" customFormat="false" ht="15" hidden="false" customHeight="false" outlineLevel="0" collapsed="false">
      <c r="B54" s="6" t="s">
        <v>156</v>
      </c>
      <c r="C54" s="35" t="n">
        <v>240000</v>
      </c>
      <c r="D54" s="32" t="s">
        <v>143</v>
      </c>
      <c r="E54" s="13" t="s">
        <v>157</v>
      </c>
    </row>
    <row r="55" customFormat="false" ht="15" hidden="false" customHeight="false" outlineLevel="0" collapsed="false">
      <c r="B55" s="6" t="s">
        <v>158</v>
      </c>
      <c r="C55" s="35" t="n">
        <v>80000</v>
      </c>
      <c r="D55" s="32" t="s">
        <v>143</v>
      </c>
      <c r="E55" s="13" t="s">
        <v>159</v>
      </c>
    </row>
    <row r="56" customFormat="false" ht="15" hidden="false" customHeight="false" outlineLevel="0" collapsed="false">
      <c r="B56" s="6" t="s">
        <v>160</v>
      </c>
      <c r="C56" s="35" t="n">
        <v>50000</v>
      </c>
      <c r="D56" s="32" t="s">
        <v>143</v>
      </c>
      <c r="E56" s="13" t="s">
        <v>161</v>
      </c>
    </row>
    <row r="57" customFormat="false" ht="15" hidden="false" customHeight="false" outlineLevel="0" collapsed="false">
      <c r="B57" s="6" t="s">
        <v>162</v>
      </c>
      <c r="C57" s="35" t="n">
        <v>40000</v>
      </c>
      <c r="D57" s="32" t="s">
        <v>143</v>
      </c>
      <c r="E57" s="13" t="s">
        <v>163</v>
      </c>
    </row>
    <row r="58" customFormat="false" ht="15" hidden="false" customHeight="false" outlineLevel="0" collapsed="false">
      <c r="B58" s="6" t="s">
        <v>164</v>
      </c>
      <c r="C58" s="35" t="n">
        <v>120000</v>
      </c>
      <c r="D58" s="32" t="s">
        <v>143</v>
      </c>
      <c r="E58" s="13" t="s">
        <v>165</v>
      </c>
    </row>
    <row r="59" customFormat="false" ht="15" hidden="false" customHeight="false" outlineLevel="0" collapsed="false">
      <c r="B59" s="6" t="s">
        <v>166</v>
      </c>
      <c r="C59" s="34" t="n">
        <v>0.08</v>
      </c>
      <c r="D59" s="32" t="s">
        <v>93</v>
      </c>
      <c r="E59" s="13" t="s">
        <v>167</v>
      </c>
    </row>
    <row r="60" customFormat="false" ht="15" hidden="false" customHeight="false" outlineLevel="0" collapsed="false">
      <c r="B60" s="6" t="s">
        <v>168</v>
      </c>
      <c r="C60" s="36" t="n">
        <v>0.03</v>
      </c>
      <c r="D60" s="32" t="s">
        <v>93</v>
      </c>
      <c r="E60" s="13" t="s">
        <v>169</v>
      </c>
    </row>
    <row r="61" customFormat="false" ht="15" hidden="false" customHeight="false" outlineLevel="0" collapsed="false">
      <c r="B61" s="6" t="s">
        <v>170</v>
      </c>
      <c r="C61" s="35" t="n">
        <v>60000</v>
      </c>
      <c r="D61" s="32" t="s">
        <v>143</v>
      </c>
      <c r="E61" s="13" t="s">
        <v>171</v>
      </c>
    </row>
    <row r="62" customFormat="false" ht="15" hidden="false" customHeight="false" outlineLevel="0" collapsed="false">
      <c r="B62" s="6" t="s">
        <v>172</v>
      </c>
      <c r="C62" s="35" t="n">
        <v>120000</v>
      </c>
      <c r="D62" s="32" t="s">
        <v>143</v>
      </c>
      <c r="E62" s="13" t="s">
        <v>173</v>
      </c>
    </row>
    <row r="63" customFormat="false" ht="15" hidden="false" customHeight="false" outlineLevel="0" collapsed="false">
      <c r="B63" s="6" t="s">
        <v>174</v>
      </c>
      <c r="C63" s="36" t="n">
        <v>0.24</v>
      </c>
      <c r="D63" s="32" t="s">
        <v>93</v>
      </c>
      <c r="E63" s="13" t="s">
        <v>175</v>
      </c>
    </row>
    <row r="64" customFormat="false" ht="15" hidden="false" customHeight="false" outlineLevel="0" collapsed="false">
      <c r="B64" s="6" t="s">
        <v>176</v>
      </c>
      <c r="C64" s="36" t="n">
        <v>0.4</v>
      </c>
      <c r="D64" s="32" t="s">
        <v>93</v>
      </c>
      <c r="E64" s="13" t="s">
        <v>177</v>
      </c>
    </row>
    <row r="65" customFormat="false" ht="15" hidden="false" customHeight="false" outlineLevel="0" collapsed="false">
      <c r="B65" s="6" t="s">
        <v>178</v>
      </c>
      <c r="C65" s="36" t="n">
        <v>0.17</v>
      </c>
      <c r="D65" s="32" t="s">
        <v>93</v>
      </c>
      <c r="E65" s="13" t="s">
        <v>179</v>
      </c>
    </row>
    <row r="66" customFormat="false" ht="15" hidden="false" customHeight="false" outlineLevel="0" collapsed="false">
      <c r="B66" s="6" t="s">
        <v>180</v>
      </c>
      <c r="C66" s="36" t="n">
        <v>0.35</v>
      </c>
      <c r="D66" s="32" t="s">
        <v>93</v>
      </c>
      <c r="E66" s="13" t="s">
        <v>181</v>
      </c>
    </row>
    <row r="67" customFormat="false" ht="15" hidden="false" customHeight="false" outlineLevel="0" collapsed="false">
      <c r="B67" s="6" t="s">
        <v>182</v>
      </c>
      <c r="C67" s="36" t="n">
        <v>0.45</v>
      </c>
      <c r="D67" s="32" t="s">
        <v>93</v>
      </c>
      <c r="E67" s="13" t="s">
        <v>183</v>
      </c>
    </row>
    <row r="69" customFormat="false" ht="15" hidden="false" customHeight="false" outlineLevel="0" collapsed="false">
      <c r="B69" s="30" t="s">
        <v>184</v>
      </c>
      <c r="C69" s="30"/>
      <c r="D69" s="30"/>
      <c r="E69" s="30"/>
    </row>
    <row r="70" customFormat="false" ht="15" hidden="false" customHeight="false" outlineLevel="0" collapsed="false">
      <c r="B70" s="6" t="s">
        <v>185</v>
      </c>
      <c r="C70" s="37" t="n">
        <v>12000000</v>
      </c>
      <c r="D70" s="32" t="s">
        <v>86</v>
      </c>
      <c r="E70" s="13" t="s">
        <v>186</v>
      </c>
    </row>
    <row r="71" customFormat="false" ht="15" hidden="false" customHeight="false" outlineLevel="0" collapsed="false">
      <c r="B71" s="6" t="s">
        <v>187</v>
      </c>
      <c r="C71" s="38" t="n">
        <v>6.5</v>
      </c>
      <c r="D71" s="32" t="s">
        <v>188</v>
      </c>
      <c r="E71" s="13" t="s">
        <v>189</v>
      </c>
    </row>
    <row r="72" customFormat="false" ht="15" hidden="false" customHeight="false" outlineLevel="0" collapsed="false">
      <c r="B72" s="6" t="s">
        <v>190</v>
      </c>
      <c r="C72" s="36" t="n">
        <v>0.05</v>
      </c>
      <c r="D72" s="32" t="s">
        <v>93</v>
      </c>
      <c r="E72" s="13" t="s">
        <v>191</v>
      </c>
    </row>
    <row r="74" customFormat="false" ht="15" hidden="false" customHeight="false" outlineLevel="0" collapsed="false">
      <c r="B74" s="30" t="s">
        <v>192</v>
      </c>
      <c r="C74" s="30"/>
      <c r="D74" s="30"/>
      <c r="E74" s="30"/>
    </row>
    <row r="75" customFormat="false" ht="15" hidden="false" customHeight="false" outlineLevel="0" collapsed="false">
      <c r="B75" s="6" t="s">
        <v>193</v>
      </c>
      <c r="C75" s="36" t="n">
        <v>0.26</v>
      </c>
      <c r="D75" s="32" t="s">
        <v>93</v>
      </c>
      <c r="E75" s="13" t="s">
        <v>194</v>
      </c>
    </row>
    <row r="76" customFormat="false" ht="15" hidden="false" customHeight="false" outlineLevel="0" collapsed="false">
      <c r="B76" s="6" t="s">
        <v>195</v>
      </c>
      <c r="C76" s="36" t="n">
        <v>0.85</v>
      </c>
      <c r="D76" s="32" t="s">
        <v>93</v>
      </c>
      <c r="E76" s="13" t="s">
        <v>196</v>
      </c>
    </row>
    <row r="77" customFormat="false" ht="15" hidden="false" customHeight="false" outlineLevel="0" collapsed="false">
      <c r="B77" s="6" t="s">
        <v>197</v>
      </c>
      <c r="C77" s="36" t="n">
        <v>0.03</v>
      </c>
      <c r="D77" s="32" t="s">
        <v>93</v>
      </c>
      <c r="E77" s="13" t="s">
        <v>198</v>
      </c>
    </row>
    <row r="78" customFormat="false" ht="15" hidden="false" customHeight="false" outlineLevel="0" collapsed="false">
      <c r="B78" s="6" t="s">
        <v>199</v>
      </c>
      <c r="C78" s="34" t="n">
        <v>0.55</v>
      </c>
      <c r="D78" s="32" t="s">
        <v>93</v>
      </c>
      <c r="E78" s="13" t="s">
        <v>200</v>
      </c>
    </row>
    <row r="79" customFormat="false" ht="15" hidden="false" customHeight="false" outlineLevel="0" collapsed="false">
      <c r="B79" s="6" t="s">
        <v>201</v>
      </c>
      <c r="C79" s="36" t="n">
        <v>0.8</v>
      </c>
      <c r="D79" s="32" t="s">
        <v>93</v>
      </c>
      <c r="E79" s="13" t="s">
        <v>202</v>
      </c>
    </row>
    <row r="80" customFormat="false" ht="15" hidden="false" customHeight="false" outlineLevel="0" collapsed="false">
      <c r="B80" s="6" t="s">
        <v>203</v>
      </c>
      <c r="C80" s="36" t="n">
        <v>1</v>
      </c>
      <c r="D80" s="32" t="s">
        <v>93</v>
      </c>
      <c r="E80" s="13" t="s">
        <v>204</v>
      </c>
    </row>
    <row r="81" customFormat="false" ht="15" hidden="false" customHeight="false" outlineLevel="0" collapsed="false">
      <c r="B81" s="6" t="s">
        <v>205</v>
      </c>
      <c r="C81" s="36" t="n">
        <v>0.1</v>
      </c>
      <c r="D81" s="32" t="s">
        <v>93</v>
      </c>
      <c r="E81" s="13" t="s">
        <v>206</v>
      </c>
    </row>
    <row r="82" customFormat="false" ht="15" hidden="false" customHeight="false" outlineLevel="0" collapsed="false">
      <c r="B82" s="6" t="s">
        <v>207</v>
      </c>
      <c r="C82" s="36" t="n">
        <v>0.1</v>
      </c>
      <c r="D82" s="32" t="s">
        <v>93</v>
      </c>
      <c r="E82" s="13" t="s">
        <v>208</v>
      </c>
    </row>
    <row r="84" customFormat="false" ht="15" hidden="false" customHeight="false" outlineLevel="0" collapsed="false">
      <c r="B84" s="30" t="s">
        <v>209</v>
      </c>
      <c r="C84" s="30"/>
      <c r="D84" s="30"/>
      <c r="E84" s="30"/>
    </row>
    <row r="85" customFormat="false" ht="15" hidden="false" customHeight="false" outlineLevel="0" collapsed="false">
      <c r="B85" s="6" t="s">
        <v>210</v>
      </c>
      <c r="C85" s="37" t="n">
        <v>4000000</v>
      </c>
      <c r="D85" s="32" t="s">
        <v>86</v>
      </c>
      <c r="E85" s="13" t="s">
        <v>211</v>
      </c>
    </row>
    <row r="86" customFormat="false" ht="15" hidden="false" customHeight="false" outlineLevel="0" collapsed="false">
      <c r="B86" s="6" t="s">
        <v>212</v>
      </c>
      <c r="C86" s="35" t="n">
        <v>12000000</v>
      </c>
      <c r="D86" s="32" t="s">
        <v>86</v>
      </c>
      <c r="E86" s="13" t="s">
        <v>213</v>
      </c>
    </row>
    <row r="87" customFormat="false" ht="15" hidden="false" customHeight="false" outlineLevel="0" collapsed="false">
      <c r="B87" s="6" t="s">
        <v>214</v>
      </c>
      <c r="C87" s="36" t="n">
        <v>0.25</v>
      </c>
      <c r="D87" s="32" t="s">
        <v>93</v>
      </c>
      <c r="E87" s="13" t="s">
        <v>215</v>
      </c>
    </row>
    <row r="88" customFormat="false" ht="15" hidden="false" customHeight="false" outlineLevel="0" collapsed="false">
      <c r="B88" s="6" t="s">
        <v>216</v>
      </c>
      <c r="C88" s="39" t="n">
        <v>8</v>
      </c>
      <c r="D88" s="32" t="s">
        <v>217</v>
      </c>
      <c r="E88" s="13" t="s">
        <v>218</v>
      </c>
    </row>
    <row r="89" customFormat="false" ht="15" hidden="false" customHeight="false" outlineLevel="0" collapsed="false">
      <c r="B89" s="6" t="s">
        <v>219</v>
      </c>
      <c r="C89" s="40" t="n">
        <v>5</v>
      </c>
      <c r="D89" s="32" t="s">
        <v>188</v>
      </c>
      <c r="E89" s="13" t="s">
        <v>220</v>
      </c>
    </row>
  </sheetData>
  <mergeCells count="10">
    <mergeCell ref="B6:E6"/>
    <mergeCell ref="B11:E11"/>
    <mergeCell ref="B20:E20"/>
    <mergeCell ref="B32:E32"/>
    <mergeCell ref="B36:E36"/>
    <mergeCell ref="B43:E43"/>
    <mergeCell ref="B52:E52"/>
    <mergeCell ref="B69:E69"/>
    <mergeCell ref="B74:E74"/>
    <mergeCell ref="B84:E8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4A5F"/>
    <pageSetUpPr fitToPage="false"/>
  </sheetPr>
  <dimension ref="B2:G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7" min="3" style="0" width="14"/>
  </cols>
  <sheetData>
    <row r="2" customFormat="false" ht="19.7" hidden="false" customHeight="false" outlineLevel="0" collapsed="false">
      <c r="B2" s="29" t="s">
        <v>221</v>
      </c>
    </row>
    <row r="3" customFormat="false" ht="15" hidden="false" customHeight="false" outlineLevel="0" collapsed="false">
      <c r="B3" s="13" t="s">
        <v>222</v>
      </c>
    </row>
    <row r="5" customFormat="false" ht="15" hidden="false" customHeight="false" outlineLevel="0" collapsed="false">
      <c r="B5" s="10" t="s">
        <v>223</v>
      </c>
      <c r="C5" s="41" t="s">
        <v>224</v>
      </c>
      <c r="D5" s="13" t="s">
        <v>225</v>
      </c>
    </row>
    <row r="7" customFormat="false" ht="15" hidden="false" customHeight="false" outlineLevel="0" collapsed="false">
      <c r="B7" s="21" t="s">
        <v>68</v>
      </c>
      <c r="C7" s="42" t="s">
        <v>226</v>
      </c>
      <c r="D7" s="43" t="s">
        <v>224</v>
      </c>
      <c r="E7" s="44" t="s">
        <v>227</v>
      </c>
      <c r="F7" s="45" t="s">
        <v>228</v>
      </c>
    </row>
    <row r="8" customFormat="false" ht="15" hidden="false" customHeight="false" outlineLevel="0" collapsed="false">
      <c r="B8" s="6" t="s">
        <v>229</v>
      </c>
      <c r="C8" s="46" t="n">
        <v>0.7</v>
      </c>
      <c r="D8" s="46" t="n">
        <v>1</v>
      </c>
      <c r="E8" s="46" t="n">
        <v>1.3</v>
      </c>
      <c r="F8" s="46" t="n">
        <v>0.5</v>
      </c>
    </row>
    <row r="9" customFormat="false" ht="15" hidden="false" customHeight="false" outlineLevel="0" collapsed="false">
      <c r="B9" s="6" t="s">
        <v>230</v>
      </c>
      <c r="C9" s="46" t="n">
        <v>0.85</v>
      </c>
      <c r="D9" s="46" t="n">
        <v>1</v>
      </c>
      <c r="E9" s="46" t="n">
        <v>1.15</v>
      </c>
      <c r="F9" s="46" t="n">
        <v>0.7</v>
      </c>
    </row>
    <row r="10" customFormat="false" ht="15" hidden="false" customHeight="false" outlineLevel="0" collapsed="false">
      <c r="B10" s="6" t="s">
        <v>231</v>
      </c>
      <c r="C10" s="46" t="n">
        <v>0.75</v>
      </c>
      <c r="D10" s="46" t="n">
        <v>1</v>
      </c>
      <c r="E10" s="46" t="n">
        <v>1.2</v>
      </c>
      <c r="F10" s="46" t="n">
        <v>0.6</v>
      </c>
    </row>
    <row r="11" customFormat="false" ht="15" hidden="false" customHeight="false" outlineLevel="0" collapsed="false">
      <c r="B11" s="6" t="s">
        <v>232</v>
      </c>
      <c r="C11" s="46" t="n">
        <v>1.1</v>
      </c>
      <c r="D11" s="46" t="n">
        <v>1</v>
      </c>
      <c r="E11" s="46" t="n">
        <v>0.95</v>
      </c>
      <c r="F11" s="46" t="n">
        <v>1.2</v>
      </c>
    </row>
    <row r="12" customFormat="false" ht="15" hidden="false" customHeight="false" outlineLevel="0" collapsed="false">
      <c r="B12" s="6" t="s">
        <v>233</v>
      </c>
      <c r="C12" s="46" t="n">
        <v>0.1</v>
      </c>
      <c r="D12" s="46" t="n">
        <v>0.08</v>
      </c>
      <c r="E12" s="46" t="n">
        <v>0.06</v>
      </c>
      <c r="F12" s="46" t="n">
        <v>0.12</v>
      </c>
    </row>
    <row r="13" customFormat="false" ht="15" hidden="false" customHeight="false" outlineLevel="0" collapsed="false">
      <c r="B13" s="6" t="s">
        <v>234</v>
      </c>
      <c r="C13" s="46" t="n">
        <v>0.4</v>
      </c>
      <c r="D13" s="46" t="n">
        <v>0.55</v>
      </c>
      <c r="E13" s="46" t="n">
        <v>0.65</v>
      </c>
      <c r="F13" s="46" t="n">
        <v>0.3</v>
      </c>
    </row>
    <row r="14" customFormat="false" ht="15" hidden="false" customHeight="false" outlineLevel="0" collapsed="false">
      <c r="B14" s="6" t="s">
        <v>235</v>
      </c>
      <c r="C14" s="47" t="n">
        <v>6</v>
      </c>
      <c r="D14" s="47" t="n">
        <v>8</v>
      </c>
      <c r="E14" s="47" t="n">
        <v>10</v>
      </c>
      <c r="F14" s="47" t="n">
        <v>5</v>
      </c>
    </row>
    <row r="16" customFormat="false" ht="15" hidden="false" customHeight="false" outlineLevel="0" collapsed="false">
      <c r="B16" s="48" t="s">
        <v>236</v>
      </c>
      <c r="C16" s="48"/>
      <c r="D16" s="48"/>
      <c r="E16" s="48"/>
      <c r="F16" s="48"/>
      <c r="G16" s="48"/>
    </row>
    <row r="17" customFormat="false" ht="15" hidden="false" customHeight="false" outlineLevel="0" collapsed="false">
      <c r="B17" s="49" t="s">
        <v>237</v>
      </c>
      <c r="C17" s="50" t="n">
        <f aca="false">HLOOKUP($C$5,$C$7:$F$14,2,FALSE())</f>
        <v>1</v>
      </c>
    </row>
    <row r="18" customFormat="false" ht="15" hidden="false" customHeight="false" outlineLevel="0" collapsed="false">
      <c r="B18" s="49" t="s">
        <v>238</v>
      </c>
      <c r="C18" s="50" t="n">
        <f aca="false">HLOOKUP($C$5,$C$7:$F$14,3,FALSE())</f>
        <v>1</v>
      </c>
    </row>
    <row r="19" customFormat="false" ht="15" hidden="false" customHeight="false" outlineLevel="0" collapsed="false">
      <c r="B19" s="49" t="s">
        <v>239</v>
      </c>
      <c r="C19" s="50" t="n">
        <f aca="false">HLOOKUP($C$5,$C$7:$F$14,4,FALSE())</f>
        <v>1</v>
      </c>
    </row>
    <row r="20" customFormat="false" ht="15" hidden="false" customHeight="false" outlineLevel="0" collapsed="false">
      <c r="B20" s="49" t="s">
        <v>240</v>
      </c>
      <c r="C20" s="50" t="n">
        <f aca="false">HLOOKUP($C$5,$C$7:$F$14,5,FALSE())</f>
        <v>1</v>
      </c>
    </row>
    <row r="21" customFormat="false" ht="15" hidden="false" customHeight="false" outlineLevel="0" collapsed="false">
      <c r="B21" s="49" t="s">
        <v>233</v>
      </c>
      <c r="C21" s="50" t="n">
        <f aca="false">HLOOKUP($C$5,$C$7:$F$14,6,FALSE())</f>
        <v>0.08</v>
      </c>
    </row>
    <row r="22" customFormat="false" ht="15" hidden="false" customHeight="false" outlineLevel="0" collapsed="false">
      <c r="B22" s="49" t="s">
        <v>234</v>
      </c>
      <c r="C22" s="50" t="n">
        <f aca="false">HLOOKUP($C$5,$C$7:$F$14,7,FALSE())</f>
        <v>0.55</v>
      </c>
    </row>
    <row r="23" customFormat="false" ht="15" hidden="false" customHeight="false" outlineLevel="0" collapsed="false">
      <c r="B23" s="49" t="s">
        <v>241</v>
      </c>
      <c r="C23" s="51" t="n">
        <f aca="false">HLOOKUP($C$5,$C$7:$F$14,8,FALSE())</f>
        <v>8</v>
      </c>
    </row>
  </sheetData>
  <mergeCells count="1">
    <mergeCell ref="B16:G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B2:H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9" min="3" style="0" width="14"/>
  </cols>
  <sheetData>
    <row r="2" customFormat="false" ht="19.7" hidden="false" customHeight="false" outlineLevel="0" collapsed="false">
      <c r="B2" s="29" t="s">
        <v>242</v>
      </c>
    </row>
    <row r="3" customFormat="false" ht="15" hidden="false" customHeight="false" outlineLevel="0" collapsed="false">
      <c r="B3" s="13" t="s">
        <v>243</v>
      </c>
    </row>
    <row r="5" customFormat="false" ht="15" hidden="false" customHeight="false" outlineLevel="0" collapsed="false">
      <c r="B5" s="21" t="s">
        <v>244</v>
      </c>
      <c r="C5" s="22" t="s">
        <v>245</v>
      </c>
      <c r="D5" s="22" t="s">
        <v>52</v>
      </c>
      <c r="E5" s="22" t="s">
        <v>53</v>
      </c>
      <c r="F5" s="22" t="s">
        <v>54</v>
      </c>
      <c r="G5" s="22" t="s">
        <v>55</v>
      </c>
      <c r="H5" s="22" t="s">
        <v>56</v>
      </c>
    </row>
    <row r="6" customFormat="false" ht="15" hidden="false" customHeight="false" outlineLevel="0" collapsed="false">
      <c r="B6" s="48" t="s">
        <v>246</v>
      </c>
      <c r="C6" s="48"/>
      <c r="D6" s="48"/>
      <c r="E6" s="48"/>
      <c r="F6" s="48"/>
      <c r="G6" s="48"/>
      <c r="H6" s="48"/>
    </row>
    <row r="7" customFormat="false" ht="15" hidden="false" customHeight="false" outlineLevel="0" collapsed="false">
      <c r="B7" s="6" t="s">
        <v>247</v>
      </c>
      <c r="C7" s="52" t="n">
        <f aca="false">Assumptions!C12*52*Assumptions!C13*Scenarios!$C$17*Scenarios!$C$18</f>
        <v>1092000</v>
      </c>
    </row>
    <row r="8" customFormat="false" ht="15" hidden="false" customHeight="false" outlineLevel="0" collapsed="false">
      <c r="B8" s="6" t="s">
        <v>248</v>
      </c>
      <c r="C8" s="52" t="n">
        <f aca="false">Assumptions!C15*52*Assumptions!C14*Scenarios!$C$17</f>
        <v>260000</v>
      </c>
    </row>
    <row r="9" customFormat="false" ht="15" hidden="false" customHeight="false" outlineLevel="0" collapsed="false">
      <c r="B9" s="6" t="s">
        <v>249</v>
      </c>
      <c r="C9" s="52" t="n">
        <f aca="false">Assumptions!C16*Assumptions!C17*Assumptions!C9*250*0.92</f>
        <v>625600</v>
      </c>
    </row>
    <row r="10" customFormat="false" ht="15" hidden="false" customHeight="false" outlineLevel="0" collapsed="false">
      <c r="B10" s="6" t="s">
        <v>250</v>
      </c>
      <c r="C10" s="52" t="n">
        <f aca="false">Assumptions!C18*52*6*Scenarios!$C$17</f>
        <v>156000</v>
      </c>
    </row>
    <row r="11" customFormat="false" ht="15" hidden="false" customHeight="false" outlineLevel="0" collapsed="false">
      <c r="B11" s="53" t="s">
        <v>251</v>
      </c>
      <c r="C11" s="54" t="n">
        <f aca="false">SUM(C7:C10)</f>
        <v>2133600</v>
      </c>
      <c r="D11" s="52" t="n">
        <f aca="false">C11*Scenarios!$C$22</f>
        <v>1173480</v>
      </c>
      <c r="E11" s="52" t="n">
        <f aca="false">C11*Assumptions!C79</f>
        <v>1706880</v>
      </c>
      <c r="F11" s="52" t="n">
        <f aca="false">C11*Assumptions!C80</f>
        <v>2133600</v>
      </c>
      <c r="G11" s="52" t="n">
        <f aca="false">F11*(1+Assumptions!C81)*(1+Assumptions!C77)</f>
        <v>2417368.8</v>
      </c>
      <c r="H11" s="52" t="n">
        <f aca="false">G11*(1+Assumptions!C82)*(1+Assumptions!C77)</f>
        <v>2738878.8504</v>
      </c>
    </row>
    <row r="13" customFormat="false" ht="15" hidden="false" customHeight="false" outlineLevel="0" collapsed="false">
      <c r="B13" s="48" t="s">
        <v>252</v>
      </c>
      <c r="C13" s="48"/>
      <c r="D13" s="48"/>
      <c r="E13" s="48"/>
      <c r="F13" s="48"/>
      <c r="G13" s="48"/>
      <c r="H13" s="48"/>
    </row>
    <row r="14" customFormat="false" ht="15" hidden="false" customHeight="false" outlineLevel="0" collapsed="false">
      <c r="B14" s="6" t="s">
        <v>253</v>
      </c>
      <c r="C14" s="52" t="n">
        <f aca="false">Assumptions!C21*Assumptions!C22*Assumptions!C23*Scenarios!$C$19</f>
        <v>1036800</v>
      </c>
    </row>
    <row r="15" customFormat="false" ht="15" hidden="false" customHeight="false" outlineLevel="0" collapsed="false">
      <c r="B15" s="6" t="s">
        <v>254</v>
      </c>
      <c r="C15" s="52" t="n">
        <f aca="false">Assumptions!C24*Assumptions!C25*Scenarios!$C$19</f>
        <v>72000</v>
      </c>
    </row>
    <row r="16" customFormat="false" ht="15" hidden="false" customHeight="false" outlineLevel="0" collapsed="false">
      <c r="B16" s="6" t="s">
        <v>255</v>
      </c>
      <c r="C16" s="52" t="n">
        <f aca="false">Assumptions!C26*Assumptions!C22*18*Scenarios!$C$19</f>
        <v>302400</v>
      </c>
    </row>
    <row r="17" customFormat="false" ht="15" hidden="false" customHeight="false" outlineLevel="0" collapsed="false">
      <c r="B17" s="6" t="s">
        <v>256</v>
      </c>
      <c r="C17" s="52" t="n">
        <f aca="false">Assumptions!C27*Assumptions!C22*Assumptions!C28*Scenarios!$C$19</f>
        <v>115200</v>
      </c>
    </row>
    <row r="18" customFormat="false" ht="15" hidden="false" customHeight="false" outlineLevel="0" collapsed="false">
      <c r="B18" s="6" t="s">
        <v>257</v>
      </c>
      <c r="C18" s="52" t="n">
        <f aca="false">Assumptions!C29*Assumptions!C30*Scenarios!$C$19</f>
        <v>225000</v>
      </c>
    </row>
    <row r="19" customFormat="false" ht="15" hidden="false" customHeight="false" outlineLevel="0" collapsed="false">
      <c r="B19" s="53" t="s">
        <v>258</v>
      </c>
      <c r="C19" s="54" t="n">
        <f aca="false">SUM(C14:C18)</f>
        <v>1751400</v>
      </c>
      <c r="D19" s="52" t="n">
        <f aca="false">C19*Scenarios!$C$22</f>
        <v>963270</v>
      </c>
      <c r="E19" s="52" t="n">
        <f aca="false">C19*Assumptions!C79</f>
        <v>1401120</v>
      </c>
      <c r="F19" s="52" t="n">
        <f aca="false">C19*Assumptions!C80</f>
        <v>1751400</v>
      </c>
      <c r="G19" s="52" t="n">
        <f aca="false">F19*(1+Assumptions!C81)*(1+Assumptions!C77)</f>
        <v>1984336.2</v>
      </c>
      <c r="H19" s="52" t="n">
        <f aca="false">G19*(1+Assumptions!C82)*(1+Assumptions!C77)</f>
        <v>2248252.9146</v>
      </c>
    </row>
    <row r="21" customFormat="false" ht="15" hidden="false" customHeight="false" outlineLevel="0" collapsed="false">
      <c r="B21" s="48" t="s">
        <v>259</v>
      </c>
      <c r="C21" s="48"/>
      <c r="D21" s="48"/>
      <c r="E21" s="48"/>
      <c r="F21" s="48"/>
      <c r="G21" s="48"/>
      <c r="H21" s="48"/>
    </row>
    <row r="22" customFormat="false" ht="15" hidden="false" customHeight="false" outlineLevel="0" collapsed="false">
      <c r="B22" s="6" t="s">
        <v>260</v>
      </c>
      <c r="C22" s="52" t="n">
        <f aca="false">Assumptions!C33*Assumptions!C34</f>
        <v>178500</v>
      </c>
      <c r="D22" s="52" t="n">
        <f aca="false">C22*Scenarios!$C$22</f>
        <v>98175</v>
      </c>
      <c r="E22" s="52" t="n">
        <f aca="false">C22*Assumptions!C79</f>
        <v>142800</v>
      </c>
      <c r="F22" s="52" t="n">
        <f aca="false">C22*Assumptions!C80</f>
        <v>178500</v>
      </c>
      <c r="G22" s="52" t="n">
        <f aca="false">F22*(1+Assumptions!C81)*(1+Assumptions!C77)</f>
        <v>202240.5</v>
      </c>
      <c r="H22" s="52" t="n">
        <f aca="false">G22*(1+Assumptions!C82)*(1+Assumptions!C77)</f>
        <v>229138.4865</v>
      </c>
    </row>
    <row r="24" customFormat="false" ht="15" hidden="false" customHeight="false" outlineLevel="0" collapsed="false">
      <c r="B24" s="48" t="s">
        <v>261</v>
      </c>
      <c r="C24" s="48"/>
      <c r="D24" s="48"/>
      <c r="E24" s="48"/>
      <c r="F24" s="48"/>
      <c r="G24" s="48"/>
      <c r="H24" s="48"/>
    </row>
    <row r="25" customFormat="false" ht="15" hidden="false" customHeight="false" outlineLevel="0" collapsed="false">
      <c r="B25" s="6" t="s">
        <v>262</v>
      </c>
      <c r="C25" s="52" t="n">
        <f aca="false">Assumptions!C37*Assumptions!C38*16*Assumptions!C9*Assumptions!C39</f>
        <v>238000</v>
      </c>
    </row>
    <row r="26" customFormat="false" ht="15" hidden="false" customHeight="false" outlineLevel="0" collapsed="false">
      <c r="B26" s="6" t="s">
        <v>263</v>
      </c>
      <c r="C26" s="52" t="n">
        <f aca="false">Assumptions!C40*Assumptions!C41</f>
        <v>48000</v>
      </c>
    </row>
    <row r="27" customFormat="false" ht="15" hidden="false" customHeight="false" outlineLevel="0" collapsed="false">
      <c r="B27" s="53" t="s">
        <v>264</v>
      </c>
      <c r="C27" s="54" t="n">
        <f aca="false">SUM(C25:C26)</f>
        <v>286000</v>
      </c>
      <c r="D27" s="52" t="n">
        <f aca="false">C27*Scenarios!$C$22</f>
        <v>157300</v>
      </c>
      <c r="E27" s="52" t="n">
        <f aca="false">C27*Assumptions!C79</f>
        <v>228800</v>
      </c>
      <c r="F27" s="52" t="n">
        <f aca="false">C27*Assumptions!C80</f>
        <v>286000</v>
      </c>
      <c r="G27" s="52" t="n">
        <f aca="false">F27*(1+Assumptions!C81)*(1+Assumptions!C77)</f>
        <v>324038</v>
      </c>
      <c r="H27" s="52" t="n">
        <f aca="false">G27*(1+Assumptions!C82)*(1+Assumptions!C77)</f>
        <v>367135.054</v>
      </c>
    </row>
    <row r="29" customFormat="false" ht="15" hidden="false" customHeight="false" outlineLevel="0" collapsed="false">
      <c r="B29" s="48" t="s">
        <v>265</v>
      </c>
      <c r="C29" s="48"/>
      <c r="D29" s="48"/>
      <c r="E29" s="48"/>
      <c r="F29" s="48"/>
      <c r="G29" s="48"/>
      <c r="H29" s="48"/>
    </row>
    <row r="30" customFormat="false" ht="15" hidden="false" customHeight="false" outlineLevel="0" collapsed="false">
      <c r="B30" s="6" t="s">
        <v>266</v>
      </c>
      <c r="C30" s="52" t="n">
        <f aca="false">Assumptions!C44*Assumptions!C45*Assumptions!C9</f>
        <v>244800</v>
      </c>
    </row>
    <row r="31" customFormat="false" ht="15" hidden="false" customHeight="false" outlineLevel="0" collapsed="false">
      <c r="B31" s="6" t="s">
        <v>267</v>
      </c>
      <c r="C31" s="52" t="n">
        <f aca="false">Assumptions!C46</f>
        <v>72000</v>
      </c>
    </row>
    <row r="32" customFormat="false" ht="15" hidden="false" customHeight="false" outlineLevel="0" collapsed="false">
      <c r="B32" s="6" t="s">
        <v>268</v>
      </c>
      <c r="C32" s="52" t="n">
        <f aca="false">Assumptions!C47*Assumptions!C48</f>
        <v>180000</v>
      </c>
    </row>
    <row r="33" customFormat="false" ht="15" hidden="false" customHeight="false" outlineLevel="0" collapsed="false">
      <c r="B33" s="6" t="s">
        <v>269</v>
      </c>
      <c r="C33" s="52" t="n">
        <f aca="false">Assumptions!C49</f>
        <v>50000</v>
      </c>
    </row>
    <row r="34" customFormat="false" ht="15" hidden="false" customHeight="false" outlineLevel="0" collapsed="false">
      <c r="B34" s="53" t="s">
        <v>270</v>
      </c>
      <c r="C34" s="54" t="n">
        <f aca="false">SUM(C30:C33)</f>
        <v>546800</v>
      </c>
      <c r="D34" s="52" t="n">
        <f aca="false">C34*Scenarios!$C$22</f>
        <v>300740</v>
      </c>
      <c r="E34" s="52" t="n">
        <f aca="false">C34*Assumptions!C79</f>
        <v>437440</v>
      </c>
      <c r="F34" s="52" t="n">
        <f aca="false">C34*Assumptions!C80</f>
        <v>546800</v>
      </c>
      <c r="G34" s="52" t="n">
        <f aca="false">F34*(1+Assumptions!C81)*(1+Assumptions!C77)</f>
        <v>619524.4</v>
      </c>
      <c r="H34" s="52" t="n">
        <f aca="false">G34*(1+Assumptions!C82)*(1+Assumptions!C77)</f>
        <v>701921.1452</v>
      </c>
    </row>
    <row r="36" customFormat="false" ht="15" hidden="false" customHeight="false" outlineLevel="0" collapsed="false">
      <c r="B36" s="48" t="s">
        <v>271</v>
      </c>
      <c r="C36" s="48"/>
      <c r="D36" s="48"/>
      <c r="E36" s="48"/>
      <c r="F36" s="48"/>
      <c r="G36" s="48"/>
      <c r="H36" s="48"/>
    </row>
    <row r="37" customFormat="false" ht="15" hidden="false" customHeight="false" outlineLevel="0" collapsed="false">
      <c r="B37" s="6" t="s">
        <v>272</v>
      </c>
      <c r="C37" s="52" t="n">
        <f aca="false">Assumptions!C50</f>
        <v>105000</v>
      </c>
      <c r="D37" s="52" t="n">
        <f aca="false">C37*Scenarios!$C$22</f>
        <v>57750</v>
      </c>
      <c r="E37" s="52" t="n">
        <f aca="false">C37*Assumptions!C79</f>
        <v>84000</v>
      </c>
      <c r="F37" s="52" t="n">
        <f aca="false">C37*Assumptions!C80</f>
        <v>105000</v>
      </c>
      <c r="G37" s="52" t="n">
        <f aca="false">F37*(1+Assumptions!C81)*(1+Assumptions!C77)</f>
        <v>118965</v>
      </c>
      <c r="H37" s="52" t="n">
        <f aca="false">G37*(1+Assumptions!C82)*(1+Assumptions!C77)</f>
        <v>134787.345</v>
      </c>
    </row>
    <row r="39" customFormat="false" ht="15" hidden="false" customHeight="false" outlineLevel="0" collapsed="false">
      <c r="B39" s="55" t="s">
        <v>273</v>
      </c>
      <c r="C39" s="56" t="n">
        <f aca="false">C11+C19+C22+C27+C34+C37</f>
        <v>5001300</v>
      </c>
      <c r="D39" s="57" t="n">
        <f aca="false">C39*Scenarios!$C$22</f>
        <v>2750715</v>
      </c>
      <c r="E39" s="57" t="n">
        <f aca="false">C39*Assumptions!C79</f>
        <v>4001040</v>
      </c>
      <c r="F39" s="57" t="n">
        <f aca="false">C39*Assumptions!C80</f>
        <v>5001300</v>
      </c>
      <c r="G39" s="57" t="n">
        <f aca="false">F39*(1+Assumptions!C81)*(1+Assumptions!C77)</f>
        <v>5666472.9</v>
      </c>
      <c r="H39" s="57" t="n">
        <f aca="false">G39*(1+Assumptions!C82)*(1+Assumptions!C77)</f>
        <v>6420113.7957</v>
      </c>
    </row>
  </sheetData>
  <mergeCells count="6">
    <mergeCell ref="B6:H6"/>
    <mergeCell ref="B13:H13"/>
    <mergeCell ref="B21:H21"/>
    <mergeCell ref="B24:H24"/>
    <mergeCell ref="B29:H29"/>
    <mergeCell ref="B36:H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B2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8" min="3" style="0" width="14"/>
  </cols>
  <sheetData>
    <row r="2" customFormat="false" ht="19.7" hidden="false" customHeight="false" outlineLevel="0" collapsed="false">
      <c r="B2" s="29" t="s">
        <v>274</v>
      </c>
    </row>
    <row r="5" customFormat="false" ht="15" hidden="false" customHeight="false" outlineLevel="0" collapsed="false">
      <c r="B5" s="21" t="s">
        <v>275</v>
      </c>
      <c r="C5" s="22" t="s">
        <v>245</v>
      </c>
      <c r="D5" s="22" t="s">
        <v>52</v>
      </c>
      <c r="E5" s="22" t="s">
        <v>53</v>
      </c>
      <c r="F5" s="22" t="s">
        <v>54</v>
      </c>
      <c r="G5" s="22" t="s">
        <v>55</v>
      </c>
      <c r="H5" s="22" t="s">
        <v>56</v>
      </c>
    </row>
    <row r="6" customFormat="false" ht="15" hidden="false" customHeight="false" outlineLevel="0" collapsed="false">
      <c r="B6" s="48" t="s">
        <v>276</v>
      </c>
      <c r="C6" s="48"/>
      <c r="D6" s="48"/>
      <c r="E6" s="48"/>
      <c r="F6" s="48"/>
      <c r="G6" s="48"/>
      <c r="H6" s="48"/>
    </row>
    <row r="7" customFormat="false" ht="15" hidden="false" customHeight="false" outlineLevel="0" collapsed="false">
      <c r="B7" s="6" t="s">
        <v>277</v>
      </c>
      <c r="C7" s="58" t="n">
        <f aca="false">'Revenue Build'!C11*Assumptions!C63</f>
        <v>512064</v>
      </c>
      <c r="D7" s="58" t="n">
        <f aca="false">'Revenue Build'!D11*Assumptions!C63</f>
        <v>281635.2</v>
      </c>
      <c r="E7" s="58" t="n">
        <f aca="false">'Revenue Build'!E11*Assumptions!C63</f>
        <v>409651.2</v>
      </c>
      <c r="F7" s="58" t="n">
        <f aca="false">'Revenue Build'!F11*Assumptions!C63</f>
        <v>512064</v>
      </c>
      <c r="G7" s="58" t="n">
        <f aca="false">'Revenue Build'!G11*Assumptions!C63</f>
        <v>580168.512</v>
      </c>
      <c r="H7" s="58" t="n">
        <f aca="false">'Revenue Build'!H11*Assumptions!C63</f>
        <v>657330.924096</v>
      </c>
    </row>
    <row r="8" customFormat="false" ht="15" hidden="false" customHeight="false" outlineLevel="0" collapsed="false">
      <c r="B8" s="6" t="s">
        <v>278</v>
      </c>
      <c r="C8" s="58" t="n">
        <f aca="false">'Revenue Build'!C19*Assumptions!C64</f>
        <v>700560</v>
      </c>
      <c r="D8" s="58" t="n">
        <f aca="false">'Revenue Build'!D19*Assumptions!C64</f>
        <v>385308</v>
      </c>
      <c r="E8" s="58" t="n">
        <f aca="false">'Revenue Build'!E19*Assumptions!C64</f>
        <v>560448</v>
      </c>
      <c r="F8" s="58" t="n">
        <f aca="false">'Revenue Build'!F19*Assumptions!C64</f>
        <v>700560</v>
      </c>
      <c r="G8" s="58" t="n">
        <f aca="false">'Revenue Build'!G19*Assumptions!C64</f>
        <v>793734.48</v>
      </c>
      <c r="H8" s="58" t="n">
        <f aca="false">'Revenue Build'!H19*Assumptions!C64</f>
        <v>899301.16584</v>
      </c>
    </row>
    <row r="9" customFormat="false" ht="15" hidden="false" customHeight="false" outlineLevel="0" collapsed="false">
      <c r="B9" s="6" t="s">
        <v>279</v>
      </c>
      <c r="C9" s="58" t="n">
        <f aca="false">'Revenue Build'!C22*Assumptions!C65</f>
        <v>30345</v>
      </c>
      <c r="D9" s="58" t="n">
        <f aca="false">'Revenue Build'!D22*Assumptions!C65</f>
        <v>16689.75</v>
      </c>
      <c r="E9" s="58" t="n">
        <f aca="false">'Revenue Build'!E22*Assumptions!C65</f>
        <v>24276</v>
      </c>
      <c r="F9" s="58" t="n">
        <f aca="false">'Revenue Build'!F22*Assumptions!C65</f>
        <v>30345</v>
      </c>
      <c r="G9" s="58" t="n">
        <f aca="false">'Revenue Build'!G22*Assumptions!C65</f>
        <v>34380.885</v>
      </c>
      <c r="H9" s="58" t="n">
        <f aca="false">'Revenue Build'!H22*Assumptions!C65</f>
        <v>38953.542705</v>
      </c>
    </row>
    <row r="10" customFormat="false" ht="15" hidden="false" customHeight="false" outlineLevel="0" collapsed="false">
      <c r="B10" s="6" t="s">
        <v>280</v>
      </c>
      <c r="C10" s="58" t="n">
        <f aca="false">'Revenue Build'!C27*Assumptions!C66</f>
        <v>100100</v>
      </c>
      <c r="D10" s="58" t="n">
        <f aca="false">'Revenue Build'!D27*Assumptions!C66</f>
        <v>55055</v>
      </c>
      <c r="E10" s="58" t="n">
        <f aca="false">'Revenue Build'!E27*Assumptions!C66</f>
        <v>80080</v>
      </c>
      <c r="F10" s="58" t="n">
        <f aca="false">'Revenue Build'!F27*Assumptions!C66</f>
        <v>100100</v>
      </c>
      <c r="G10" s="58" t="n">
        <f aca="false">'Revenue Build'!G27*Assumptions!C66</f>
        <v>113413.3</v>
      </c>
      <c r="H10" s="58" t="n">
        <f aca="false">'Revenue Build'!H27*Assumptions!C66</f>
        <v>128497.2689</v>
      </c>
    </row>
    <row r="11" customFormat="false" ht="15" hidden="false" customHeight="false" outlineLevel="0" collapsed="false">
      <c r="B11" s="6" t="s">
        <v>281</v>
      </c>
      <c r="C11" s="58" t="n">
        <f aca="false">'Revenue Build'!C34*Assumptions!C67</f>
        <v>246060</v>
      </c>
      <c r="D11" s="58" t="n">
        <f aca="false">'Revenue Build'!D34*Assumptions!C67</f>
        <v>135333</v>
      </c>
      <c r="E11" s="58" t="n">
        <f aca="false">'Revenue Build'!E34*Assumptions!C67</f>
        <v>196848</v>
      </c>
      <c r="F11" s="58" t="n">
        <f aca="false">'Revenue Build'!F34*Assumptions!C67</f>
        <v>246060</v>
      </c>
      <c r="G11" s="58" t="n">
        <f aca="false">'Revenue Build'!G34*Assumptions!C67</f>
        <v>278785.98</v>
      </c>
      <c r="H11" s="58" t="n">
        <f aca="false">'Revenue Build'!H34*Assumptions!C67</f>
        <v>315864.51534</v>
      </c>
    </row>
    <row r="12" customFormat="false" ht="15" hidden="false" customHeight="false" outlineLevel="0" collapsed="false">
      <c r="B12" s="53" t="s">
        <v>282</v>
      </c>
      <c r="C12" s="54" t="n">
        <f aca="false">SUM(C7:C11)</f>
        <v>1589129</v>
      </c>
      <c r="D12" s="54" t="n">
        <f aca="false">SUM(D7:D11)</f>
        <v>874020.95</v>
      </c>
      <c r="E12" s="54" t="n">
        <f aca="false">SUM(E7:E11)</f>
        <v>1271303.2</v>
      </c>
      <c r="F12" s="54" t="n">
        <f aca="false">SUM(F7:F11)</f>
        <v>1589129</v>
      </c>
      <c r="G12" s="54" t="n">
        <f aca="false">SUM(G7:G11)</f>
        <v>1800483.157</v>
      </c>
      <c r="H12" s="54" t="n">
        <f aca="false">SUM(H7:H11)</f>
        <v>2039947.416881</v>
      </c>
    </row>
    <row r="14" customFormat="false" ht="15" hidden="false" customHeight="false" outlineLevel="0" collapsed="false">
      <c r="B14" s="48" t="s">
        <v>283</v>
      </c>
      <c r="C14" s="48"/>
      <c r="D14" s="48"/>
      <c r="E14" s="48"/>
      <c r="F14" s="48"/>
      <c r="G14" s="48"/>
      <c r="H14" s="48"/>
    </row>
    <row r="15" customFormat="false" ht="15" hidden="false" customHeight="false" outlineLevel="0" collapsed="false">
      <c r="B15" s="6" t="s">
        <v>284</v>
      </c>
      <c r="C15" s="52" t="n">
        <f aca="false">Assumptions!C53*Scenarios!$C$20</f>
        <v>600000</v>
      </c>
      <c r="D15" s="52" t="n">
        <f aca="false">C15*(1+Assumptions!C77)^0</f>
        <v>600000</v>
      </c>
      <c r="E15" s="52" t="n">
        <f aca="false">C15*(1+Assumptions!C77)^1</f>
        <v>618000</v>
      </c>
      <c r="F15" s="52" t="n">
        <f aca="false">C15*(1+Assumptions!C77)^2</f>
        <v>636540</v>
      </c>
      <c r="G15" s="52" t="n">
        <f aca="false">C15*(1+Assumptions!C77)^3</f>
        <v>655636.2</v>
      </c>
      <c r="H15" s="52" t="n">
        <f aca="false">C15*(1+Assumptions!C77)^4</f>
        <v>675305.286</v>
      </c>
    </row>
    <row r="16" customFormat="false" ht="15" hidden="false" customHeight="false" outlineLevel="0" collapsed="false">
      <c r="B16" s="6" t="s">
        <v>156</v>
      </c>
      <c r="C16" s="52" t="n">
        <f aca="false">Assumptions!C54*Scenarios!$C$20</f>
        <v>240000</v>
      </c>
      <c r="D16" s="52" t="n">
        <f aca="false">C16*(1+Assumptions!C77)^0</f>
        <v>240000</v>
      </c>
      <c r="E16" s="52" t="n">
        <f aca="false">C16*(1+Assumptions!C77)^1</f>
        <v>247200</v>
      </c>
      <c r="F16" s="52" t="n">
        <f aca="false">C16*(1+Assumptions!C77)^2</f>
        <v>254616</v>
      </c>
      <c r="G16" s="52" t="n">
        <f aca="false">C16*(1+Assumptions!C77)^3</f>
        <v>262254.48</v>
      </c>
      <c r="H16" s="52" t="n">
        <f aca="false">C16*(1+Assumptions!C77)^4</f>
        <v>270122.1144</v>
      </c>
    </row>
    <row r="17" customFormat="false" ht="15" hidden="false" customHeight="false" outlineLevel="0" collapsed="false">
      <c r="B17" s="6" t="s">
        <v>158</v>
      </c>
      <c r="C17" s="52" t="n">
        <f aca="false">Assumptions!C55*Scenarios!$C$20</f>
        <v>80000</v>
      </c>
      <c r="D17" s="52" t="n">
        <f aca="false">C17*(1+Assumptions!C77)^0</f>
        <v>80000</v>
      </c>
      <c r="E17" s="52" t="n">
        <f aca="false">C17*(1+Assumptions!C77)^1</f>
        <v>82400</v>
      </c>
      <c r="F17" s="52" t="n">
        <f aca="false">C17*(1+Assumptions!C77)^2</f>
        <v>84872</v>
      </c>
      <c r="G17" s="52" t="n">
        <f aca="false">C17*(1+Assumptions!C77)^3</f>
        <v>87418.16</v>
      </c>
      <c r="H17" s="52" t="n">
        <f aca="false">C17*(1+Assumptions!C77)^4</f>
        <v>90040.7048</v>
      </c>
    </row>
    <row r="18" customFormat="false" ht="15" hidden="false" customHeight="false" outlineLevel="0" collapsed="false">
      <c r="B18" s="6" t="s">
        <v>160</v>
      </c>
      <c r="C18" s="52" t="n">
        <f aca="false">Assumptions!C56*Scenarios!$C$20</f>
        <v>50000</v>
      </c>
      <c r="D18" s="52" t="n">
        <f aca="false">C18*(1+Assumptions!C77)^0</f>
        <v>50000</v>
      </c>
      <c r="E18" s="52" t="n">
        <f aca="false">C18*(1+Assumptions!C77)^1</f>
        <v>51500</v>
      </c>
      <c r="F18" s="52" t="n">
        <f aca="false">C18*(1+Assumptions!C77)^2</f>
        <v>53045</v>
      </c>
      <c r="G18" s="52" t="n">
        <f aca="false">C18*(1+Assumptions!C77)^3</f>
        <v>54636.35</v>
      </c>
      <c r="H18" s="52" t="n">
        <f aca="false">C18*(1+Assumptions!C77)^4</f>
        <v>56275.4405</v>
      </c>
    </row>
    <row r="19" customFormat="false" ht="15" hidden="false" customHeight="false" outlineLevel="0" collapsed="false">
      <c r="B19" s="6" t="s">
        <v>162</v>
      </c>
      <c r="C19" s="52" t="n">
        <f aca="false">Assumptions!C57*Scenarios!$C$20</f>
        <v>40000</v>
      </c>
      <c r="D19" s="52" t="n">
        <f aca="false">C19*(1+Assumptions!C77)^0</f>
        <v>40000</v>
      </c>
      <c r="E19" s="52" t="n">
        <f aca="false">C19*(1+Assumptions!C77)^1</f>
        <v>41200</v>
      </c>
      <c r="F19" s="52" t="n">
        <f aca="false">C19*(1+Assumptions!C77)^2</f>
        <v>42436</v>
      </c>
      <c r="G19" s="52" t="n">
        <f aca="false">C19*(1+Assumptions!C77)^3</f>
        <v>43709.08</v>
      </c>
      <c r="H19" s="52" t="n">
        <f aca="false">C19*(1+Assumptions!C77)^4</f>
        <v>45020.3524</v>
      </c>
    </row>
    <row r="20" customFormat="false" ht="15" hidden="false" customHeight="false" outlineLevel="0" collapsed="false">
      <c r="B20" s="6" t="s">
        <v>164</v>
      </c>
      <c r="C20" s="52" t="n">
        <f aca="false">Assumptions!C58*Scenarios!$C$20</f>
        <v>120000</v>
      </c>
      <c r="D20" s="52" t="n">
        <f aca="false">C20*(1+Assumptions!C77)^0</f>
        <v>120000</v>
      </c>
      <c r="E20" s="52" t="n">
        <f aca="false">C20*(1+Assumptions!C77)^1</f>
        <v>123600</v>
      </c>
      <c r="F20" s="52" t="n">
        <f aca="false">C20*(1+Assumptions!C77)^2</f>
        <v>127308</v>
      </c>
      <c r="G20" s="52" t="n">
        <f aca="false">C20*(1+Assumptions!C77)^3</f>
        <v>131127.24</v>
      </c>
      <c r="H20" s="52" t="n">
        <f aca="false">C20*(1+Assumptions!C77)^4</f>
        <v>135061.0572</v>
      </c>
    </row>
    <row r="21" customFormat="false" ht="15" hidden="false" customHeight="false" outlineLevel="0" collapsed="false">
      <c r="B21" s="6" t="s">
        <v>170</v>
      </c>
      <c r="C21" s="52" t="n">
        <f aca="false">Assumptions!C61*Scenarios!$C$20</f>
        <v>60000</v>
      </c>
      <c r="D21" s="52" t="n">
        <f aca="false">C21*(1+Assumptions!C77)^0</f>
        <v>60000</v>
      </c>
      <c r="E21" s="52" t="n">
        <f aca="false">C21*(1+Assumptions!C77)^1</f>
        <v>61800</v>
      </c>
      <c r="F21" s="52" t="n">
        <f aca="false">C21*(1+Assumptions!C77)^2</f>
        <v>63654</v>
      </c>
      <c r="G21" s="52" t="n">
        <f aca="false">C21*(1+Assumptions!C77)^3</f>
        <v>65563.62</v>
      </c>
      <c r="H21" s="52" t="n">
        <f aca="false">C21*(1+Assumptions!C77)^4</f>
        <v>67530.5286</v>
      </c>
    </row>
    <row r="22" customFormat="false" ht="15" hidden="false" customHeight="false" outlineLevel="0" collapsed="false">
      <c r="B22" s="6" t="s">
        <v>165</v>
      </c>
      <c r="C22" s="52" t="n">
        <f aca="false">Assumptions!C62*Scenarios!$C$20</f>
        <v>120000</v>
      </c>
      <c r="D22" s="52" t="n">
        <f aca="false">C22*(1+Assumptions!C77)^0</f>
        <v>120000</v>
      </c>
      <c r="E22" s="52" t="n">
        <f aca="false">C22*(1+Assumptions!C77)^1</f>
        <v>123600</v>
      </c>
      <c r="F22" s="52" t="n">
        <f aca="false">C22*(1+Assumptions!C77)^2</f>
        <v>127308</v>
      </c>
      <c r="G22" s="52" t="n">
        <f aca="false">C22*(1+Assumptions!C77)^3</f>
        <v>131127.24</v>
      </c>
      <c r="H22" s="52" t="n">
        <f aca="false">C22*(1+Assumptions!C77)^4</f>
        <v>135061.0572</v>
      </c>
    </row>
    <row r="23" customFormat="false" ht="15" hidden="false" customHeight="false" outlineLevel="0" collapsed="false">
      <c r="B23" s="6" t="s">
        <v>166</v>
      </c>
      <c r="C23" s="52" t="n">
        <f aca="false">'Revenue Build'!C39*Scenarios!$C$21</f>
        <v>400104</v>
      </c>
      <c r="D23" s="52" t="n">
        <f aca="false">'Revenue Build'!D39*Scenarios!$C$21</f>
        <v>220057.2</v>
      </c>
      <c r="E23" s="52" t="n">
        <f aca="false">'Revenue Build'!E39*Scenarios!$C$21</f>
        <v>320083.2</v>
      </c>
      <c r="F23" s="52" t="n">
        <f aca="false">'Revenue Build'!F39*Scenarios!$C$21</f>
        <v>400104</v>
      </c>
      <c r="G23" s="52" t="n">
        <f aca="false">'Revenue Build'!G39*Scenarios!$C$21</f>
        <v>453317.832</v>
      </c>
      <c r="H23" s="52" t="n">
        <f aca="false">'Revenue Build'!H39*Scenarios!$C$21</f>
        <v>513609.103656</v>
      </c>
    </row>
    <row r="24" customFormat="false" ht="15" hidden="false" customHeight="false" outlineLevel="0" collapsed="false">
      <c r="B24" s="6" t="s">
        <v>168</v>
      </c>
      <c r="C24" s="52" t="n">
        <f aca="false">'Revenue Build'!C39*Assumptions!C60</f>
        <v>150039</v>
      </c>
      <c r="D24" s="52" t="n">
        <f aca="false">'Revenue Build'!D39*Assumptions!C60</f>
        <v>82521.45</v>
      </c>
      <c r="E24" s="52" t="n">
        <f aca="false">'Revenue Build'!E39*Assumptions!C60</f>
        <v>120031.2</v>
      </c>
      <c r="F24" s="52" t="n">
        <f aca="false">'Revenue Build'!F39*Assumptions!C60</f>
        <v>150039</v>
      </c>
      <c r="G24" s="52" t="n">
        <f aca="false">'Revenue Build'!G39*Assumptions!C60</f>
        <v>169994.187</v>
      </c>
      <c r="H24" s="52" t="n">
        <f aca="false">'Revenue Build'!H39*Assumptions!C60</f>
        <v>192603.413871</v>
      </c>
    </row>
    <row r="25" customFormat="false" ht="15" hidden="false" customHeight="false" outlineLevel="0" collapsed="false">
      <c r="B25" s="53" t="s">
        <v>285</v>
      </c>
      <c r="C25" s="54" t="n">
        <f aca="false">SUM(C15:C24)</f>
        <v>1860143</v>
      </c>
      <c r="D25" s="54" t="n">
        <f aca="false">SUM(D15:D24)</f>
        <v>1612578.65</v>
      </c>
      <c r="E25" s="54" t="n">
        <f aca="false">SUM(E15:E24)</f>
        <v>1789414.4</v>
      </c>
      <c r="F25" s="54" t="n">
        <f aca="false">SUM(F15:F24)</f>
        <v>1939922</v>
      </c>
      <c r="G25" s="54" t="n">
        <f aca="false">SUM(G15:G24)</f>
        <v>2054784.389</v>
      </c>
      <c r="H25" s="54" t="n">
        <f aca="false">SUM(H15:H24)</f>
        <v>2180629.058627</v>
      </c>
    </row>
  </sheetData>
  <mergeCells count="2">
    <mergeCell ref="B6:H6"/>
    <mergeCell ref="B14:H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3E7A"/>
    <pageSetUpPr fitToPage="false"/>
  </sheetPr>
  <dimension ref="B2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6"/>
    <col collapsed="false" customWidth="true" hidden="false" outlineLevel="0" max="3" min="3" style="0" width="14"/>
    <col collapsed="false" customWidth="true" hidden="false" outlineLevel="0" max="4" min="4" style="0" width="12"/>
    <col collapsed="false" customWidth="true" hidden="false" outlineLevel="0" max="6" min="5" style="0" width="14"/>
    <col collapsed="false" customWidth="true" hidden="false" outlineLevel="0" max="12" min="7" style="0" width="12"/>
  </cols>
  <sheetData>
    <row r="2" customFormat="false" ht="19.7" hidden="false" customHeight="false" outlineLevel="0" collapsed="false">
      <c r="B2" s="29" t="s">
        <v>286</v>
      </c>
    </row>
    <row r="5" customFormat="false" ht="15" hidden="false" customHeight="false" outlineLevel="0" collapsed="false">
      <c r="B5" s="21" t="s">
        <v>287</v>
      </c>
      <c r="C5" s="21" t="s">
        <v>288</v>
      </c>
      <c r="D5" s="22" t="s">
        <v>289</v>
      </c>
      <c r="E5" s="22" t="s">
        <v>290</v>
      </c>
      <c r="F5" s="22" t="s">
        <v>291</v>
      </c>
      <c r="G5" s="22" t="s">
        <v>52</v>
      </c>
      <c r="H5" s="22" t="s">
        <v>53</v>
      </c>
      <c r="I5" s="22" t="s">
        <v>54</v>
      </c>
      <c r="J5" s="22" t="s">
        <v>55</v>
      </c>
      <c r="K5" s="22" t="s">
        <v>56</v>
      </c>
    </row>
    <row r="6" customFormat="false" ht="15" hidden="false" customHeight="false" outlineLevel="0" collapsed="false">
      <c r="B6" s="6" t="s">
        <v>292</v>
      </c>
      <c r="C6" s="59" t="n">
        <v>950000</v>
      </c>
      <c r="D6" s="32" t="s">
        <v>293</v>
      </c>
      <c r="E6" s="60" t="n">
        <v>10</v>
      </c>
      <c r="F6" s="52" t="n">
        <f aca="false">C6/E6</f>
        <v>95000</v>
      </c>
      <c r="G6" s="52" t="n">
        <f aca="false">IF(1&lt;=E6,F6,0)</f>
        <v>95000</v>
      </c>
      <c r="H6" s="52" t="n">
        <f aca="false">IF(2&lt;=E6,F6,0)</f>
        <v>95000</v>
      </c>
      <c r="I6" s="52" t="n">
        <f aca="false">IF(3&lt;=E6,F6,0)</f>
        <v>95000</v>
      </c>
      <c r="J6" s="52" t="n">
        <f aca="false">IF(4&lt;=E6,F6,0)</f>
        <v>95000</v>
      </c>
      <c r="K6" s="52" t="n">
        <f aca="false">IF(5&lt;=E6,F6,0)</f>
        <v>95000</v>
      </c>
    </row>
    <row r="7" customFormat="false" ht="15" hidden="false" customHeight="false" outlineLevel="0" collapsed="false">
      <c r="B7" s="6" t="s">
        <v>294</v>
      </c>
      <c r="C7" s="59" t="n">
        <v>4900000</v>
      </c>
      <c r="D7" s="32" t="s">
        <v>293</v>
      </c>
      <c r="E7" s="60" t="n">
        <v>8</v>
      </c>
      <c r="F7" s="52" t="n">
        <f aca="false">C7/E7</f>
        <v>612500</v>
      </c>
      <c r="G7" s="52" t="n">
        <f aca="false">IF(1&lt;=E7,F7,0)</f>
        <v>612500</v>
      </c>
      <c r="H7" s="52" t="n">
        <f aca="false">IF(2&lt;=E7,F7,0)</f>
        <v>612500</v>
      </c>
      <c r="I7" s="52" t="n">
        <f aca="false">IF(3&lt;=E7,F7,0)</f>
        <v>612500</v>
      </c>
      <c r="J7" s="52" t="n">
        <f aca="false">IF(4&lt;=E7,F7,0)</f>
        <v>612500</v>
      </c>
      <c r="K7" s="52" t="n">
        <f aca="false">IF(5&lt;=E7,F7,0)</f>
        <v>612500</v>
      </c>
    </row>
    <row r="8" customFormat="false" ht="15" hidden="false" customHeight="false" outlineLevel="0" collapsed="false">
      <c r="B8" s="6" t="s">
        <v>295</v>
      </c>
      <c r="C8" s="59" t="n">
        <v>1000000</v>
      </c>
      <c r="D8" s="32" t="s">
        <v>293</v>
      </c>
      <c r="E8" s="60" t="n">
        <v>5</v>
      </c>
      <c r="F8" s="52" t="n">
        <f aca="false">C8/E8</f>
        <v>200000</v>
      </c>
      <c r="G8" s="52" t="n">
        <f aca="false">IF(1&lt;=E8,F8,0)</f>
        <v>200000</v>
      </c>
      <c r="H8" s="52" t="n">
        <f aca="false">IF(2&lt;=E8,F8,0)</f>
        <v>200000</v>
      </c>
      <c r="I8" s="52" t="n">
        <f aca="false">IF(3&lt;=E8,F8,0)</f>
        <v>200000</v>
      </c>
      <c r="J8" s="52" t="n">
        <f aca="false">IF(4&lt;=E8,F8,0)</f>
        <v>200000</v>
      </c>
      <c r="K8" s="52" t="n">
        <f aca="false">IF(5&lt;=E8,F8,0)</f>
        <v>200000</v>
      </c>
    </row>
    <row r="9" customFormat="false" ht="15" hidden="false" customHeight="false" outlineLevel="0" collapsed="false">
      <c r="B9" s="6" t="s">
        <v>296</v>
      </c>
      <c r="C9" s="59" t="n">
        <v>540000</v>
      </c>
      <c r="D9" s="32" t="s">
        <v>293</v>
      </c>
      <c r="E9" s="60" t="n">
        <v>5</v>
      </c>
      <c r="F9" s="52" t="n">
        <f aca="false">C9/E9</f>
        <v>108000</v>
      </c>
      <c r="G9" s="52" t="n">
        <f aca="false">IF(1&lt;=E9,F9,0)</f>
        <v>108000</v>
      </c>
      <c r="H9" s="52" t="n">
        <f aca="false">IF(2&lt;=E9,F9,0)</f>
        <v>108000</v>
      </c>
      <c r="I9" s="52" t="n">
        <f aca="false">IF(3&lt;=E9,F9,0)</f>
        <v>108000</v>
      </c>
      <c r="J9" s="52" t="n">
        <f aca="false">IF(4&lt;=E9,F9,0)</f>
        <v>108000</v>
      </c>
      <c r="K9" s="52" t="n">
        <f aca="false">IF(5&lt;=E9,F9,0)</f>
        <v>108000</v>
      </c>
    </row>
    <row r="10" customFormat="false" ht="15" hidden="false" customHeight="false" outlineLevel="0" collapsed="false">
      <c r="B10" s="6" t="s">
        <v>297</v>
      </c>
      <c r="C10" s="59" t="n">
        <v>500000</v>
      </c>
      <c r="D10" s="32" t="s">
        <v>298</v>
      </c>
      <c r="E10" s="60" t="n">
        <v>8</v>
      </c>
      <c r="F10" s="52" t="n">
        <f aca="false">C10/E10</f>
        <v>62500</v>
      </c>
      <c r="G10" s="52" t="n">
        <f aca="false">IF(1&lt;=E10,F10,0)</f>
        <v>62500</v>
      </c>
      <c r="H10" s="52" t="n">
        <f aca="false">IF(2&lt;=E10,F10,0)</f>
        <v>62500</v>
      </c>
      <c r="I10" s="52" t="n">
        <f aca="false">IF(3&lt;=E10,F10,0)</f>
        <v>62500</v>
      </c>
      <c r="J10" s="52" t="n">
        <f aca="false">IF(4&lt;=E10,F10,0)</f>
        <v>62500</v>
      </c>
      <c r="K10" s="52" t="n">
        <f aca="false">IF(5&lt;=E10,F10,0)</f>
        <v>62500</v>
      </c>
    </row>
    <row r="11" customFormat="false" ht="15" hidden="false" customHeight="false" outlineLevel="0" collapsed="false">
      <c r="B11" s="6" t="s">
        <v>299</v>
      </c>
      <c r="C11" s="59" t="n">
        <v>500000</v>
      </c>
      <c r="D11" s="32" t="s">
        <v>298</v>
      </c>
      <c r="E11" s="60" t="n">
        <v>10</v>
      </c>
      <c r="F11" s="52" t="n">
        <f aca="false">C11/E11</f>
        <v>50000</v>
      </c>
      <c r="G11" s="52" t="n">
        <f aca="false">IF(1&lt;=E11,F11,0)</f>
        <v>50000</v>
      </c>
      <c r="H11" s="52" t="n">
        <f aca="false">IF(2&lt;=E11,F11,0)</f>
        <v>50000</v>
      </c>
      <c r="I11" s="52" t="n">
        <f aca="false">IF(3&lt;=E11,F11,0)</f>
        <v>50000</v>
      </c>
      <c r="J11" s="52" t="n">
        <f aca="false">IF(4&lt;=E11,F11,0)</f>
        <v>50000</v>
      </c>
      <c r="K11" s="52" t="n">
        <f aca="false">IF(5&lt;=E11,F11,0)</f>
        <v>50000</v>
      </c>
    </row>
    <row r="12" customFormat="false" ht="15" hidden="false" customHeight="false" outlineLevel="0" collapsed="false">
      <c r="B12" s="6" t="s">
        <v>300</v>
      </c>
      <c r="C12" s="59" t="n">
        <v>500000</v>
      </c>
      <c r="D12" s="32" t="s">
        <v>298</v>
      </c>
      <c r="E12" s="60" t="n">
        <v>10</v>
      </c>
      <c r="F12" s="52" t="n">
        <f aca="false">C12/E12</f>
        <v>50000</v>
      </c>
      <c r="G12" s="52" t="n">
        <f aca="false">IF(1&lt;=E12,F12,0)</f>
        <v>50000</v>
      </c>
      <c r="H12" s="52" t="n">
        <f aca="false">IF(2&lt;=E12,F12,0)</f>
        <v>50000</v>
      </c>
      <c r="I12" s="52" t="n">
        <f aca="false">IF(3&lt;=E12,F12,0)</f>
        <v>50000</v>
      </c>
      <c r="J12" s="52" t="n">
        <f aca="false">IF(4&lt;=E12,F12,0)</f>
        <v>50000</v>
      </c>
      <c r="K12" s="52" t="n">
        <f aca="false">IF(5&lt;=E12,F12,0)</f>
        <v>50000</v>
      </c>
    </row>
    <row r="13" customFormat="false" ht="15" hidden="false" customHeight="false" outlineLevel="0" collapsed="false">
      <c r="B13" s="6" t="s">
        <v>301</v>
      </c>
      <c r="C13" s="59" t="n">
        <v>400000</v>
      </c>
      <c r="D13" s="32" t="s">
        <v>298</v>
      </c>
      <c r="E13" s="60" t="n">
        <v>8</v>
      </c>
      <c r="F13" s="52" t="n">
        <f aca="false">C13/E13</f>
        <v>50000</v>
      </c>
      <c r="G13" s="52" t="n">
        <f aca="false">IF(1&lt;=E13,F13,0)</f>
        <v>50000</v>
      </c>
      <c r="H13" s="52" t="n">
        <f aca="false">IF(2&lt;=E13,F13,0)</f>
        <v>50000</v>
      </c>
      <c r="I13" s="52" t="n">
        <f aca="false">IF(3&lt;=E13,F13,0)</f>
        <v>50000</v>
      </c>
      <c r="J13" s="52" t="n">
        <f aca="false">IF(4&lt;=E13,F13,0)</f>
        <v>50000</v>
      </c>
      <c r="K13" s="52" t="n">
        <f aca="false">IF(5&lt;=E13,F13,0)</f>
        <v>50000</v>
      </c>
    </row>
    <row r="14" customFormat="false" ht="15" hidden="false" customHeight="false" outlineLevel="0" collapsed="false">
      <c r="B14" s="6" t="s">
        <v>302</v>
      </c>
      <c r="C14" s="59" t="n">
        <v>350000</v>
      </c>
      <c r="D14" s="32" t="s">
        <v>298</v>
      </c>
      <c r="E14" s="60" t="n">
        <v>10</v>
      </c>
      <c r="F14" s="52" t="n">
        <f aca="false">C14/E14</f>
        <v>35000</v>
      </c>
      <c r="G14" s="52" t="n">
        <f aca="false">IF(1&lt;=E14,F14,0)</f>
        <v>35000</v>
      </c>
      <c r="H14" s="52" t="n">
        <f aca="false">IF(2&lt;=E14,F14,0)</f>
        <v>35000</v>
      </c>
      <c r="I14" s="52" t="n">
        <f aca="false">IF(3&lt;=E14,F14,0)</f>
        <v>35000</v>
      </c>
      <c r="J14" s="52" t="n">
        <f aca="false">IF(4&lt;=E14,F14,0)</f>
        <v>35000</v>
      </c>
      <c r="K14" s="52" t="n">
        <f aca="false">IF(5&lt;=E14,F14,0)</f>
        <v>35000</v>
      </c>
    </row>
    <row r="15" customFormat="false" ht="15" hidden="false" customHeight="false" outlineLevel="0" collapsed="false">
      <c r="B15" s="6" t="s">
        <v>303</v>
      </c>
      <c r="C15" s="59" t="n">
        <v>300000</v>
      </c>
      <c r="D15" s="32" t="s">
        <v>293</v>
      </c>
      <c r="E15" s="60" t="n">
        <v>10</v>
      </c>
      <c r="F15" s="52" t="n">
        <f aca="false">C15/E15</f>
        <v>30000</v>
      </c>
      <c r="G15" s="52" t="n">
        <f aca="false">IF(1&lt;=E15,F15,0)</f>
        <v>30000</v>
      </c>
      <c r="H15" s="52" t="n">
        <f aca="false">IF(2&lt;=E15,F15,0)</f>
        <v>30000</v>
      </c>
      <c r="I15" s="52" t="n">
        <f aca="false">IF(3&lt;=E15,F15,0)</f>
        <v>30000</v>
      </c>
      <c r="J15" s="52" t="n">
        <f aca="false">IF(4&lt;=E15,F15,0)</f>
        <v>30000</v>
      </c>
      <c r="K15" s="52" t="n">
        <f aca="false">IF(5&lt;=E15,F15,0)</f>
        <v>30000</v>
      </c>
    </row>
    <row r="16" customFormat="false" ht="15" hidden="false" customHeight="false" outlineLevel="0" collapsed="false">
      <c r="B16" s="6" t="s">
        <v>304</v>
      </c>
      <c r="C16" s="59" t="n">
        <v>400000</v>
      </c>
      <c r="D16" s="32" t="s">
        <v>293</v>
      </c>
      <c r="E16" s="60" t="n">
        <v>1</v>
      </c>
      <c r="F16" s="52" t="n">
        <f aca="false">C16/E16</f>
        <v>400000</v>
      </c>
      <c r="G16" s="52" t="n">
        <f aca="false">IF(1&lt;=E16,F16,0)</f>
        <v>400000</v>
      </c>
      <c r="H16" s="52" t="n">
        <f aca="false">IF(2&lt;=E16,F16,0)</f>
        <v>0</v>
      </c>
      <c r="I16" s="52" t="n">
        <f aca="false">IF(3&lt;=E16,F16,0)</f>
        <v>0</v>
      </c>
      <c r="J16" s="52" t="n">
        <f aca="false">IF(4&lt;=E16,F16,0)</f>
        <v>0</v>
      </c>
      <c r="K16" s="52" t="n">
        <f aca="false">IF(5&lt;=E16,F16,0)</f>
        <v>0</v>
      </c>
    </row>
    <row r="17" customFormat="false" ht="15" hidden="false" customHeight="false" outlineLevel="0" collapsed="false">
      <c r="B17" s="6" t="s">
        <v>305</v>
      </c>
      <c r="C17" s="59" t="n">
        <v>300000</v>
      </c>
      <c r="D17" s="32" t="s">
        <v>306</v>
      </c>
      <c r="E17" s="60" t="n">
        <v>1</v>
      </c>
      <c r="F17" s="52" t="n">
        <f aca="false">C17/E17</f>
        <v>300000</v>
      </c>
      <c r="G17" s="52" t="n">
        <f aca="false">IF(1&lt;=E17,F17,0)</f>
        <v>300000</v>
      </c>
      <c r="H17" s="52" t="n">
        <f aca="false">IF(2&lt;=E17,F17,0)</f>
        <v>0</v>
      </c>
      <c r="I17" s="52" t="n">
        <f aca="false">IF(3&lt;=E17,F17,0)</f>
        <v>0</v>
      </c>
      <c r="J17" s="52" t="n">
        <f aca="false">IF(4&lt;=E17,F17,0)</f>
        <v>0</v>
      </c>
      <c r="K17" s="52" t="n">
        <f aca="false">IF(5&lt;=E17,F17,0)</f>
        <v>0</v>
      </c>
    </row>
    <row r="18" customFormat="false" ht="15" hidden="false" customHeight="false" outlineLevel="0" collapsed="false">
      <c r="B18" s="61" t="s">
        <v>307</v>
      </c>
      <c r="C18" s="62" t="n">
        <f aca="false">SUM(C6:C17)</f>
        <v>10640000</v>
      </c>
      <c r="F18" s="62" t="n">
        <f aca="false">SUM(F6:F17)</f>
        <v>1993000</v>
      </c>
      <c r="G18" s="62" t="n">
        <f aca="false">SUM(G6:G17)</f>
        <v>1993000</v>
      </c>
      <c r="H18" s="62" t="n">
        <f aca="false">SUM(H6:H17)</f>
        <v>1293000</v>
      </c>
      <c r="I18" s="62" t="n">
        <f aca="false">SUM(I6:I17)</f>
        <v>1293000</v>
      </c>
      <c r="J18" s="62" t="n">
        <f aca="false">SUM(J6:J17)</f>
        <v>1293000</v>
      </c>
      <c r="K18" s="62" t="n">
        <f aca="false">SUM(K6:K17)</f>
        <v>1293000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3A70"/>
    <pageSetUpPr fitToPage="false"/>
  </sheetPr>
  <dimension ref="B2:H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8" min="3" style="0" width="14"/>
  </cols>
  <sheetData>
    <row r="2" customFormat="false" ht="19.7" hidden="false" customHeight="false" outlineLevel="0" collapsed="false">
      <c r="B2" s="29" t="s">
        <v>308</v>
      </c>
    </row>
    <row r="3" customFormat="false" ht="15" hidden="false" customHeight="false" outlineLevel="0" collapsed="false">
      <c r="B3" s="13" t="s">
        <v>309</v>
      </c>
    </row>
    <row r="5" customFormat="false" ht="15" hidden="false" customHeight="false" outlineLevel="0" collapsed="false">
      <c r="B5" s="21" t="s">
        <v>310</v>
      </c>
      <c r="C5" s="22" t="s">
        <v>311</v>
      </c>
      <c r="D5" s="22" t="s">
        <v>52</v>
      </c>
      <c r="E5" s="22" t="s">
        <v>53</v>
      </c>
      <c r="F5" s="22" t="s">
        <v>54</v>
      </c>
      <c r="G5" s="22" t="s">
        <v>55</v>
      </c>
      <c r="H5" s="22" t="s">
        <v>56</v>
      </c>
    </row>
    <row r="6" customFormat="false" ht="15" hidden="false" customHeight="false" outlineLevel="0" collapsed="false">
      <c r="B6" s="13" t="s">
        <v>312</v>
      </c>
      <c r="C6" s="63" t="s">
        <v>313</v>
      </c>
      <c r="D6" s="63" t="s">
        <v>314</v>
      </c>
      <c r="E6" s="63" t="s">
        <v>315</v>
      </c>
      <c r="F6" s="63" t="s">
        <v>316</v>
      </c>
      <c r="G6" s="63" t="s">
        <v>317</v>
      </c>
      <c r="H6" s="63" t="s">
        <v>318</v>
      </c>
    </row>
    <row r="8" customFormat="false" ht="15" hidden="false" customHeight="false" outlineLevel="0" collapsed="false">
      <c r="B8" s="64" t="s">
        <v>319</v>
      </c>
      <c r="C8" s="65" t="n">
        <f aca="false">'Revenue Build'!C39</f>
        <v>5001300</v>
      </c>
      <c r="D8" s="65" t="n">
        <f aca="false">'Revenue Build'!D39</f>
        <v>2750715</v>
      </c>
      <c r="E8" s="65" t="n">
        <f aca="false">'Revenue Build'!E39</f>
        <v>4001040</v>
      </c>
      <c r="F8" s="65" t="n">
        <f aca="false">'Revenue Build'!F39</f>
        <v>5001300</v>
      </c>
      <c r="G8" s="65" t="n">
        <f aca="false">'Revenue Build'!G39</f>
        <v>5666472.9</v>
      </c>
      <c r="H8" s="65" t="n">
        <f aca="false">'Revenue Build'!H39</f>
        <v>6420113.7957</v>
      </c>
    </row>
    <row r="10" customFormat="false" ht="15" hidden="false" customHeight="false" outlineLevel="0" collapsed="false">
      <c r="B10" s="6" t="s">
        <v>58</v>
      </c>
      <c r="C10" s="58" t="n">
        <f aca="false">-'OpEx &amp; Costs'!C12</f>
        <v>-1589129</v>
      </c>
      <c r="D10" s="58" t="n">
        <f aca="false">-'OpEx &amp; Costs'!D12</f>
        <v>-874020.95</v>
      </c>
      <c r="E10" s="58" t="n">
        <f aca="false">-'OpEx &amp; Costs'!E12</f>
        <v>-1271303.2</v>
      </c>
      <c r="F10" s="58" t="n">
        <f aca="false">-'OpEx &amp; Costs'!F12</f>
        <v>-1589129</v>
      </c>
      <c r="G10" s="58" t="n">
        <f aca="false">-'OpEx &amp; Costs'!G12</f>
        <v>-1800483.157</v>
      </c>
      <c r="H10" s="58" t="n">
        <f aca="false">-'OpEx &amp; Costs'!H12</f>
        <v>-2039947.416881</v>
      </c>
    </row>
    <row r="12" customFormat="false" ht="15" hidden="false" customHeight="false" outlineLevel="0" collapsed="false">
      <c r="B12" s="53" t="s">
        <v>59</v>
      </c>
      <c r="C12" s="54" t="n">
        <f aca="false">C8+C10</f>
        <v>3412171</v>
      </c>
      <c r="D12" s="54" t="n">
        <f aca="false">D8+D10</f>
        <v>1876694.05</v>
      </c>
      <c r="E12" s="54" t="n">
        <f aca="false">E8+E10</f>
        <v>2729736.8</v>
      </c>
      <c r="F12" s="54" t="n">
        <f aca="false">F8+F10</f>
        <v>3412171</v>
      </c>
      <c r="G12" s="54" t="n">
        <f aca="false">G8+G10</f>
        <v>3865989.743</v>
      </c>
      <c r="H12" s="54" t="n">
        <f aca="false">H8+H10</f>
        <v>4380166.378819</v>
      </c>
    </row>
    <row r="14" customFormat="false" ht="15" hidden="false" customHeight="false" outlineLevel="0" collapsed="false">
      <c r="B14" s="6" t="s">
        <v>320</v>
      </c>
      <c r="C14" s="58" t="n">
        <f aca="false">-'OpEx &amp; Costs'!C25</f>
        <v>-1860143</v>
      </c>
      <c r="D14" s="58" t="n">
        <f aca="false">-'OpEx &amp; Costs'!D25</f>
        <v>-1612578.65</v>
      </c>
      <c r="E14" s="58" t="n">
        <f aca="false">-'OpEx &amp; Costs'!E25</f>
        <v>-1789414.4</v>
      </c>
      <c r="F14" s="58" t="n">
        <f aca="false">-'OpEx &amp; Costs'!F25</f>
        <v>-1939922</v>
      </c>
      <c r="G14" s="58" t="n">
        <f aca="false">-'OpEx &amp; Costs'!G25</f>
        <v>-2054784.389</v>
      </c>
      <c r="H14" s="58" t="n">
        <f aca="false">-'OpEx &amp; Costs'!H25</f>
        <v>-2180629.058627</v>
      </c>
    </row>
    <row r="18" customFormat="false" ht="15" hidden="false" customHeight="false" outlineLevel="0" collapsed="false">
      <c r="B18" s="66" t="s">
        <v>61</v>
      </c>
      <c r="C18" s="67" t="n">
        <f aca="false">C12+C14</f>
        <v>1552028</v>
      </c>
      <c r="D18" s="67" t="n">
        <f aca="false">D12+D14</f>
        <v>264115.4</v>
      </c>
      <c r="E18" s="67" t="n">
        <f aca="false">E12+E14</f>
        <v>940322.4</v>
      </c>
      <c r="F18" s="67" t="n">
        <f aca="false">F12+F14</f>
        <v>1472249</v>
      </c>
      <c r="G18" s="67" t="n">
        <f aca="false">G12+G14</f>
        <v>1811205.354</v>
      </c>
      <c r="H18" s="67" t="n">
        <f aca="false">H12+H14</f>
        <v>2199537.320192</v>
      </c>
    </row>
    <row r="20" customFormat="false" ht="15" hidden="false" customHeight="false" outlineLevel="0" collapsed="false">
      <c r="B20" s="6" t="s">
        <v>321</v>
      </c>
      <c r="C20" s="58" t="n">
        <f aca="false">-'CapEx Schedule'!F18</f>
        <v>-1993000</v>
      </c>
      <c r="D20" s="58" t="n">
        <f aca="false">-'CapEx Schedule'!G18</f>
        <v>-1993000</v>
      </c>
      <c r="E20" s="58" t="n">
        <f aca="false">-'CapEx Schedule'!H18</f>
        <v>-1293000</v>
      </c>
      <c r="F20" s="58" t="n">
        <f aca="false">-'CapEx Schedule'!I18</f>
        <v>-1293000</v>
      </c>
      <c r="G20" s="58" t="n">
        <f aca="false">-'CapEx Schedule'!J18</f>
        <v>-1293000</v>
      </c>
      <c r="H20" s="58" t="n">
        <f aca="false">-'CapEx Schedule'!K18</f>
        <v>-1293000</v>
      </c>
    </row>
    <row r="22" customFormat="false" ht="15" hidden="false" customHeight="false" outlineLevel="0" collapsed="false">
      <c r="B22" s="53" t="s">
        <v>322</v>
      </c>
      <c r="C22" s="54" t="n">
        <f aca="false">C18+C20</f>
        <v>-440972</v>
      </c>
      <c r="D22" s="54" t="n">
        <f aca="false">D18+D20</f>
        <v>-1728884.6</v>
      </c>
      <c r="E22" s="54" t="n">
        <f aca="false">E18+E20</f>
        <v>-352677.6</v>
      </c>
      <c r="F22" s="54" t="n">
        <f aca="false">F18+F20</f>
        <v>179249</v>
      </c>
      <c r="G22" s="54" t="n">
        <f aca="false">G18+G20</f>
        <v>518205.354</v>
      </c>
      <c r="H22" s="54" t="n">
        <f aca="false">H18+H20</f>
        <v>906537.320192001</v>
      </c>
    </row>
    <row r="24" customFormat="false" ht="15" hidden="false" customHeight="false" outlineLevel="0" collapsed="false">
      <c r="B24" s="6" t="s">
        <v>323</v>
      </c>
      <c r="C24" s="52" t="n">
        <f aca="false">-MAX(0,C22)*Assumptions!C75</f>
        <v>-0</v>
      </c>
      <c r="D24" s="52" t="n">
        <f aca="false">-MAX(0,D22)*Assumptions!C75</f>
        <v>-0</v>
      </c>
      <c r="E24" s="52" t="n">
        <f aca="false">-MAX(0,E22)*Assumptions!C75</f>
        <v>-0</v>
      </c>
      <c r="F24" s="52" t="n">
        <f aca="false">-MAX(0,F22)*Assumptions!C75</f>
        <v>-46604.74</v>
      </c>
      <c r="G24" s="52" t="n">
        <f aca="false">-MAX(0,G22)*Assumptions!C75</f>
        <v>-134733.39204</v>
      </c>
      <c r="H24" s="52" t="n">
        <f aca="false">-MAX(0,H22)*Assumptions!C75</f>
        <v>-235699.70324992</v>
      </c>
    </row>
    <row r="26" customFormat="false" ht="15" hidden="false" customHeight="false" outlineLevel="0" collapsed="false">
      <c r="B26" s="68" t="s">
        <v>64</v>
      </c>
      <c r="C26" s="69" t="n">
        <f aca="false">C22+C24</f>
        <v>-440972</v>
      </c>
      <c r="D26" s="69" t="n">
        <f aca="false">D22+D24</f>
        <v>-1728884.6</v>
      </c>
      <c r="E26" s="69" t="n">
        <f aca="false">E22+E24</f>
        <v>-352677.6</v>
      </c>
      <c r="F26" s="69" t="n">
        <f aca="false">F22+F24</f>
        <v>132644.26</v>
      </c>
      <c r="G26" s="69" t="n">
        <f aca="false">G22+G24</f>
        <v>383471.96196</v>
      </c>
      <c r="H26" s="69" t="n">
        <f aca="false">H22+H24</f>
        <v>670837.616942081</v>
      </c>
    </row>
    <row r="28" customFormat="false" ht="15" hidden="false" customHeight="false" outlineLevel="0" collapsed="false">
      <c r="B28" s="27" t="s">
        <v>324</v>
      </c>
      <c r="C28" s="70" t="n">
        <f aca="false">MAX(0,C26)*Assumptions!C76</f>
        <v>0</v>
      </c>
      <c r="D28" s="70" t="n">
        <f aca="false">MAX(0,D26)*Assumptions!C76</f>
        <v>0</v>
      </c>
      <c r="E28" s="70" t="n">
        <f aca="false">MAX(0,E26)*Assumptions!C76</f>
        <v>0</v>
      </c>
      <c r="F28" s="70" t="n">
        <f aca="false">MAX(0,F26)*Assumptions!C76</f>
        <v>112747.621</v>
      </c>
      <c r="G28" s="70" t="n">
        <f aca="false">MAX(0,G26)*Assumptions!C76</f>
        <v>325951.167666</v>
      </c>
      <c r="H28" s="70" t="n">
        <f aca="false">MAX(0,H26)*Assumptions!C76</f>
        <v>570211.974400769</v>
      </c>
    </row>
    <row r="30" customFormat="false" ht="15" hidden="false" customHeight="false" outlineLevel="0" collapsed="false">
      <c r="B30" s="13" t="s">
        <v>325</v>
      </c>
      <c r="C30" s="71" t="n">
        <f aca="false">IFERROR(C18/C8,0)</f>
        <v>0.310324915521964</v>
      </c>
      <c r="D30" s="71" t="n">
        <f aca="false">IFERROR(D18/D8,0)</f>
        <v>0.0960169992165673</v>
      </c>
      <c r="E30" s="71" t="n">
        <f aca="false">IFERROR(E18/E8,0)</f>
        <v>0.235019494931318</v>
      </c>
      <c r="F30" s="71" t="n">
        <f aca="false">IFERROR(F18/F8,0)</f>
        <v>0.294373262951633</v>
      </c>
      <c r="G30" s="71" t="n">
        <f aca="false">IFERROR(G18/G8,0)</f>
        <v>0.319635403885899</v>
      </c>
      <c r="H30" s="71" t="n">
        <f aca="false">IFERROR(H18/H8,0)</f>
        <v>0.342600986553414</v>
      </c>
    </row>
    <row r="31" customFormat="false" ht="15" hidden="false" customHeight="false" outlineLevel="0" collapsed="false">
      <c r="B31" s="13" t="s">
        <v>326</v>
      </c>
      <c r="C31" s="71" t="n">
        <f aca="false">IFERROR(C26/C8,0)</f>
        <v>-0.0881714754163917</v>
      </c>
      <c r="D31" s="71" t="n">
        <f aca="false">IFERROR(D26/D8,0)</f>
        <v>-0.628521893398626</v>
      </c>
      <c r="E31" s="71" t="n">
        <f aca="false">IFERROR(E26/E8,0)</f>
        <v>-0.0881464819147022</v>
      </c>
      <c r="F31" s="71" t="n">
        <f aca="false">IFERROR(F26/F8,0)</f>
        <v>0.0265219562913642</v>
      </c>
      <c r="G31" s="71" t="n">
        <f aca="false">IFERROR(G26/G8,0)</f>
        <v>0.0676738367459589</v>
      </c>
      <c r="H31" s="71" t="n">
        <f aca="false">IFERROR(H26/H8,0)</f>
        <v>0.104489988540606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3A70"/>
    <pageSetUpPr fitToPage="false"/>
  </sheetPr>
  <dimension ref="B2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8"/>
    <col collapsed="false" customWidth="true" hidden="false" outlineLevel="0" max="8" min="3" style="0" width="14"/>
  </cols>
  <sheetData>
    <row r="2" customFormat="false" ht="19.7" hidden="false" customHeight="false" outlineLevel="0" collapsed="false">
      <c r="B2" s="29" t="s">
        <v>327</v>
      </c>
    </row>
    <row r="3" customFormat="false" ht="15" hidden="false" customHeight="false" outlineLevel="0" collapsed="false">
      <c r="B3" s="13" t="s">
        <v>328</v>
      </c>
    </row>
    <row r="5" customFormat="false" ht="15" hidden="false" customHeight="false" outlineLevel="0" collapsed="false">
      <c r="B5" s="21" t="s">
        <v>329</v>
      </c>
      <c r="C5" s="22" t="s">
        <v>330</v>
      </c>
      <c r="D5" s="22" t="s">
        <v>52</v>
      </c>
      <c r="E5" s="22" t="s">
        <v>53</v>
      </c>
      <c r="F5" s="22" t="s">
        <v>54</v>
      </c>
      <c r="G5" s="22" t="s">
        <v>55</v>
      </c>
      <c r="H5" s="22" t="s">
        <v>56</v>
      </c>
    </row>
    <row r="7" customFormat="false" ht="15" hidden="false" customHeight="false" outlineLevel="0" collapsed="false">
      <c r="B7" s="48" t="s">
        <v>331</v>
      </c>
      <c r="C7" s="48"/>
      <c r="D7" s="48"/>
      <c r="E7" s="48"/>
      <c r="F7" s="48"/>
      <c r="G7" s="48"/>
      <c r="H7" s="48"/>
    </row>
    <row r="8" customFormat="false" ht="15" hidden="false" customHeight="false" outlineLevel="0" collapsed="false">
      <c r="B8" s="6" t="s">
        <v>64</v>
      </c>
      <c r="C8" s="52" t="n">
        <v>0</v>
      </c>
      <c r="D8" s="58" t="n">
        <f aca="false">'P&amp;L'!D26</f>
        <v>-1728884.6</v>
      </c>
      <c r="E8" s="58" t="n">
        <f aca="false">'P&amp;L'!E26</f>
        <v>-352677.6</v>
      </c>
      <c r="F8" s="58" t="n">
        <f aca="false">'P&amp;L'!F26</f>
        <v>132644.26</v>
      </c>
      <c r="G8" s="58" t="n">
        <f aca="false">'P&amp;L'!G26</f>
        <v>383471.96196</v>
      </c>
      <c r="H8" s="58" t="n">
        <f aca="false">'P&amp;L'!H26</f>
        <v>670837.616942081</v>
      </c>
    </row>
    <row r="9" customFormat="false" ht="15" hidden="false" customHeight="false" outlineLevel="0" collapsed="false">
      <c r="B9" s="6" t="s">
        <v>332</v>
      </c>
      <c r="C9" s="52" t="n">
        <v>0</v>
      </c>
      <c r="D9" s="58" t="n">
        <f aca="false">-'P&amp;L'!D20</f>
        <v>1993000</v>
      </c>
      <c r="E9" s="58" t="n">
        <f aca="false">-'P&amp;L'!E20</f>
        <v>1293000</v>
      </c>
      <c r="F9" s="58" t="n">
        <f aca="false">-'P&amp;L'!F20</f>
        <v>1293000</v>
      </c>
      <c r="G9" s="58" t="n">
        <f aca="false">-'P&amp;L'!G20</f>
        <v>1293000</v>
      </c>
      <c r="H9" s="58" t="n">
        <f aca="false">-'P&amp;L'!H20</f>
        <v>1293000</v>
      </c>
    </row>
    <row r="10" customFormat="false" ht="15" hidden="false" customHeight="false" outlineLevel="0" collapsed="false">
      <c r="B10" s="6" t="s">
        <v>333</v>
      </c>
      <c r="C10" s="52" t="n">
        <v>0</v>
      </c>
      <c r="D10" s="52" t="n">
        <f aca="false">-'P&amp;L'!D8*Assumptions!C72</f>
        <v>-137535.75</v>
      </c>
      <c r="E10" s="52" t="n">
        <f aca="false">-('P&amp;L'!E8-'P&amp;L'!D8)*Assumptions!C72</f>
        <v>-62516.25</v>
      </c>
      <c r="F10" s="52" t="n">
        <f aca="false">-('P&amp;L'!F8-'P&amp;L'!E8)*Assumptions!C72</f>
        <v>-50013</v>
      </c>
      <c r="G10" s="52" t="n">
        <f aca="false">-('P&amp;L'!G8-'P&amp;L'!F8)*Assumptions!C72</f>
        <v>-33258.645</v>
      </c>
      <c r="H10" s="52" t="n">
        <f aca="false">-('P&amp;L'!H8-'P&amp;L'!G8)*Assumptions!C72</f>
        <v>-37682.0447850001</v>
      </c>
    </row>
    <row r="11" customFormat="false" ht="15" hidden="false" customHeight="false" outlineLevel="0" collapsed="false">
      <c r="B11" s="53" t="s">
        <v>334</v>
      </c>
      <c r="C11" s="54" t="n">
        <f aca="false">SUM(C8:C10)</f>
        <v>0</v>
      </c>
      <c r="D11" s="54" t="n">
        <f aca="false">SUM(D8:D10)</f>
        <v>126579.65</v>
      </c>
      <c r="E11" s="54" t="n">
        <f aca="false">SUM(E8:E10)</f>
        <v>877806.15</v>
      </c>
      <c r="F11" s="54" t="n">
        <f aca="false">SUM(F8:F10)</f>
        <v>1375631.26</v>
      </c>
      <c r="G11" s="54" t="n">
        <f aca="false">SUM(G8:G10)</f>
        <v>1643213.31696</v>
      </c>
      <c r="H11" s="54" t="n">
        <f aca="false">SUM(H8:H10)</f>
        <v>1926155.57215708</v>
      </c>
    </row>
    <row r="13" customFormat="false" ht="15" hidden="false" customHeight="false" outlineLevel="0" collapsed="false">
      <c r="B13" s="48" t="s">
        <v>335</v>
      </c>
      <c r="C13" s="48"/>
      <c r="D13" s="48"/>
      <c r="E13" s="48"/>
      <c r="F13" s="48"/>
      <c r="G13" s="48"/>
      <c r="H13" s="48"/>
    </row>
    <row r="14" customFormat="false" ht="15" hidden="false" customHeight="false" outlineLevel="0" collapsed="false">
      <c r="B14" s="6" t="s">
        <v>336</v>
      </c>
      <c r="C14" s="52" t="n">
        <f aca="false">-'CapEx Schedule'!C18*0.5</f>
        <v>-5320000</v>
      </c>
      <c r="D14" s="52" t="n">
        <f aca="false">-'CapEx Schedule'!C18*0.3</f>
        <v>-3192000</v>
      </c>
      <c r="E14" s="52" t="n">
        <f aca="false">-'CapEx Schedule'!C18*0.2</f>
        <v>-2128000</v>
      </c>
      <c r="F14" s="52" t="n">
        <v>0</v>
      </c>
      <c r="G14" s="52" t="n">
        <v>0</v>
      </c>
      <c r="H14" s="52" t="n">
        <v>0</v>
      </c>
    </row>
    <row r="15" customFormat="false" ht="15" hidden="false" customHeight="false" outlineLevel="0" collapsed="false">
      <c r="B15" s="53" t="s">
        <v>337</v>
      </c>
      <c r="C15" s="54" t="n">
        <f aca="false">C14</f>
        <v>-5320000</v>
      </c>
      <c r="D15" s="54" t="n">
        <f aca="false">D14</f>
        <v>-3192000</v>
      </c>
      <c r="E15" s="54" t="n">
        <f aca="false">E14</f>
        <v>-2128000</v>
      </c>
      <c r="F15" s="54" t="n">
        <f aca="false">F14</f>
        <v>0</v>
      </c>
      <c r="G15" s="54" t="n">
        <f aca="false">G14</f>
        <v>0</v>
      </c>
      <c r="H15" s="54" t="n">
        <f aca="false">H14</f>
        <v>0</v>
      </c>
    </row>
    <row r="17" customFormat="false" ht="15" hidden="false" customHeight="false" outlineLevel="0" collapsed="false">
      <c r="B17" s="48" t="s">
        <v>338</v>
      </c>
      <c r="C17" s="48"/>
      <c r="D17" s="48"/>
      <c r="E17" s="48"/>
      <c r="F17" s="48"/>
      <c r="G17" s="48"/>
      <c r="H17" s="48"/>
    </row>
    <row r="18" customFormat="false" ht="15" hidden="false" customHeight="false" outlineLevel="0" collapsed="false">
      <c r="B18" s="6" t="s">
        <v>339</v>
      </c>
      <c r="C18" s="58" t="n">
        <f aca="false">Assumptions!C85</f>
        <v>4000000</v>
      </c>
      <c r="D18" s="59" t="n">
        <v>5000000</v>
      </c>
      <c r="E18" s="59" t="n">
        <v>5000000</v>
      </c>
      <c r="F18" s="52" t="n">
        <v>0</v>
      </c>
      <c r="G18" s="52" t="n">
        <v>0</v>
      </c>
      <c r="H18" s="52" t="n">
        <v>0</v>
      </c>
    </row>
    <row r="19" customFormat="false" ht="15" hidden="false" customHeight="false" outlineLevel="0" collapsed="false">
      <c r="B19" s="6" t="s">
        <v>340</v>
      </c>
      <c r="C19" s="52" t="n">
        <v>0</v>
      </c>
      <c r="D19" s="58" t="n">
        <f aca="false">-'P&amp;L'!D28</f>
        <v>-0</v>
      </c>
      <c r="E19" s="58" t="n">
        <f aca="false">-'P&amp;L'!E28</f>
        <v>-0</v>
      </c>
      <c r="F19" s="58" t="n">
        <f aca="false">-'P&amp;L'!F28</f>
        <v>-112747.621</v>
      </c>
      <c r="G19" s="58" t="n">
        <f aca="false">-'P&amp;L'!G28</f>
        <v>-325951.167666</v>
      </c>
      <c r="H19" s="58" t="n">
        <f aca="false">-'P&amp;L'!H28</f>
        <v>-570211.974400769</v>
      </c>
    </row>
    <row r="20" customFormat="false" ht="15" hidden="false" customHeight="false" outlineLevel="0" collapsed="false">
      <c r="B20" s="53" t="s">
        <v>341</v>
      </c>
      <c r="C20" s="54" t="n">
        <f aca="false">C18+C19</f>
        <v>4000000</v>
      </c>
      <c r="D20" s="54" t="n">
        <f aca="false">D18+D19</f>
        <v>5000000</v>
      </c>
      <c r="E20" s="54" t="n">
        <f aca="false">E18+E19</f>
        <v>5000000</v>
      </c>
      <c r="F20" s="54" t="n">
        <f aca="false">F18+F19</f>
        <v>-112747.621</v>
      </c>
      <c r="G20" s="54" t="n">
        <f aca="false">G18+G19</f>
        <v>-325951.167666</v>
      </c>
      <c r="H20" s="54" t="n">
        <f aca="false">H18+H19</f>
        <v>-570211.974400769</v>
      </c>
    </row>
    <row r="22" customFormat="false" ht="15" hidden="false" customHeight="false" outlineLevel="0" collapsed="false">
      <c r="B22" s="66" t="s">
        <v>342</v>
      </c>
      <c r="C22" s="67" t="n">
        <f aca="false">C11+C15+C20</f>
        <v>-1320000</v>
      </c>
      <c r="D22" s="67" t="n">
        <f aca="false">D11+D15+D20</f>
        <v>1934579.65</v>
      </c>
      <c r="E22" s="67" t="n">
        <f aca="false">E11+E15+E20</f>
        <v>3749806.15</v>
      </c>
      <c r="F22" s="67" t="n">
        <f aca="false">F11+F15+F20</f>
        <v>1262883.639</v>
      </c>
      <c r="G22" s="67" t="n">
        <f aca="false">G11+G15+G20</f>
        <v>1317262.149294</v>
      </c>
      <c r="H22" s="67" t="n">
        <f aca="false">H11+H15+H20</f>
        <v>1355943.59775631</v>
      </c>
    </row>
    <row r="23" customFormat="false" ht="15" hidden="false" customHeight="false" outlineLevel="0" collapsed="false">
      <c r="B23" s="72" t="s">
        <v>343</v>
      </c>
      <c r="C23" s="52" t="n">
        <f aca="false">C22</f>
        <v>-1320000</v>
      </c>
      <c r="D23" s="73" t="n">
        <f aca="false">C23+D22</f>
        <v>614579.65</v>
      </c>
      <c r="E23" s="73" t="n">
        <f aca="false">D23+E22</f>
        <v>4364385.8</v>
      </c>
      <c r="F23" s="73" t="n">
        <f aca="false">E23+F22</f>
        <v>5627269.439</v>
      </c>
      <c r="G23" s="73" t="n">
        <f aca="false">F23+G22</f>
        <v>6944531.588294</v>
      </c>
      <c r="H23" s="73" t="n">
        <f aca="false">G23+H22</f>
        <v>8300475.18605031</v>
      </c>
    </row>
  </sheetData>
  <mergeCells count="3">
    <mergeCell ref="B7:H7"/>
    <mergeCell ref="B13:H13"/>
    <mergeCell ref="B17:H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2026-04-13T15:37:07Z</dcterms:created>
  <dc:creator>openpyxl</dc:creator>
  <dc:description/>
  <dc:language>en-US</dc:language>
  <cp:lastModifiedBy/>
  <dcterms:modified xsi:type="dcterms:W3CDTF">2026-04-13T15:37:07Z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